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p2\home\hibh\Desktop\"/>
    </mc:Choice>
  </mc:AlternateContent>
  <xr:revisionPtr revIDLastSave="0" documentId="8_{6FFAE05F-B564-46DB-B8D5-93EA92E2C140}" xr6:coauthVersionLast="45" xr6:coauthVersionMax="45" xr10:uidLastSave="{00000000-0000-0000-0000-000000000000}"/>
  <bookViews>
    <workbookView xWindow="-110" yWindow="-110" windowWidth="19420" windowHeight="10420" activeTab="2" xr2:uid="{FBB52AF6-213F-4836-80F7-44FFBC50115C}"/>
  </bookViews>
  <sheets>
    <sheet name="instrument groencompensatie" sheetId="1" r:id="rId1"/>
    <sheet name="Bijlage A Maatregelen" sheetId="2" r:id="rId2"/>
    <sheet name="Bijlage B info uit boommonito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C17" i="1" s="1"/>
  <c r="B56" i="1"/>
  <c r="C56" i="1" s="1"/>
  <c r="B42" i="1"/>
  <c r="C42" i="1" s="1"/>
  <c r="B41" i="1"/>
  <c r="C41" i="1" s="1"/>
  <c r="B40" i="1"/>
  <c r="C40" i="1" s="1"/>
  <c r="B48" i="1"/>
  <c r="C48" i="1" s="1"/>
  <c r="B29" i="1"/>
  <c r="C29" i="1" s="1"/>
  <c r="E8" i="1"/>
  <c r="B60" i="1"/>
  <c r="C60" i="1" s="1"/>
  <c r="B32" i="1"/>
  <c r="C32" i="1" s="1"/>
  <c r="B23" i="1"/>
  <c r="C23" i="1" s="1"/>
  <c r="B21" i="1"/>
  <c r="C21" i="1" s="1"/>
  <c r="B16" i="1"/>
  <c r="C16" i="1" s="1"/>
  <c r="M65" i="1"/>
  <c r="F64" i="1"/>
  <c r="E64" i="1"/>
  <c r="B64" i="1" s="1"/>
  <c r="C64" i="1" s="1"/>
  <c r="F63" i="1"/>
  <c r="E63" i="1"/>
  <c r="B63" i="1" s="1"/>
  <c r="C63" i="1" s="1"/>
  <c r="F62" i="1"/>
  <c r="E62" i="1"/>
  <c r="B62" i="1" s="1"/>
  <c r="C62" i="1" s="1"/>
  <c r="F61" i="1"/>
  <c r="B61" i="1" s="1"/>
  <c r="C61" i="1" s="1"/>
  <c r="E61" i="1"/>
  <c r="F60" i="1"/>
  <c r="E60" i="1"/>
  <c r="E16" i="1"/>
  <c r="F16" i="1"/>
  <c r="N49" i="1"/>
  <c r="K49" i="1" s="1"/>
  <c r="N55" i="1"/>
  <c r="K55" i="1" s="1"/>
  <c r="N54" i="1"/>
  <c r="K54" i="1" s="1"/>
  <c r="N53" i="1"/>
  <c r="K53" i="1" s="1"/>
  <c r="N52" i="1"/>
  <c r="K52" i="1" s="1"/>
  <c r="N51" i="1"/>
  <c r="K51" i="1" s="1"/>
  <c r="N50" i="1"/>
  <c r="K50" i="1" s="1"/>
  <c r="N33" i="1"/>
  <c r="K33" i="1" s="1"/>
  <c r="K40" i="1"/>
  <c r="K29" i="1"/>
  <c r="K41" i="1"/>
  <c r="K42" i="1"/>
  <c r="E21" i="1"/>
  <c r="F21" i="1"/>
  <c r="E23" i="1"/>
  <c r="F23" i="1"/>
  <c r="C65" i="1" l="1"/>
  <c r="B65" i="1"/>
  <c r="E28" i="1"/>
  <c r="B28" i="1" s="1"/>
  <c r="C28" i="1" s="1"/>
  <c r="F28" i="1"/>
  <c r="E20" i="1"/>
  <c r="B20" i="1" s="1"/>
  <c r="C20" i="1" s="1"/>
  <c r="F20" i="1"/>
  <c r="E22" i="1"/>
  <c r="B22" i="1" s="1"/>
  <c r="C22" i="1" s="1"/>
  <c r="F22" i="1"/>
  <c r="F12" i="1" l="1"/>
  <c r="N64" i="1"/>
  <c r="K64" i="1" s="1"/>
  <c r="N63" i="1"/>
  <c r="K63" i="1" s="1"/>
  <c r="N62" i="1"/>
  <c r="K62" i="1" s="1"/>
  <c r="N60" i="1"/>
  <c r="K60" i="1" s="1"/>
  <c r="N61" i="1"/>
  <c r="K61" i="1" s="1"/>
  <c r="E65" i="1"/>
  <c r="N16" i="1"/>
  <c r="K16" i="1" s="1"/>
  <c r="N15" i="1"/>
  <c r="K15" i="1" s="1"/>
  <c r="E57" i="1"/>
  <c r="F11" i="1"/>
  <c r="N46" i="1"/>
  <c r="K46" i="1" s="1"/>
  <c r="N47" i="1"/>
  <c r="K47" i="1" s="1"/>
  <c r="N35" i="1"/>
  <c r="K35" i="1" s="1"/>
  <c r="E43" i="1"/>
  <c r="F10" i="1"/>
  <c r="N28" i="1"/>
  <c r="K28" i="1" s="1"/>
  <c r="N38" i="1"/>
  <c r="K38" i="1" s="1"/>
  <c r="N21" i="1"/>
  <c r="K21" i="1" s="1"/>
  <c r="N25" i="1"/>
  <c r="K25" i="1" s="1"/>
  <c r="N22" i="1"/>
  <c r="K22" i="1" s="1"/>
  <c r="N37" i="1"/>
  <c r="K37" i="1" s="1"/>
  <c r="N26" i="1"/>
  <c r="K26" i="1" s="1"/>
  <c r="N23" i="1"/>
  <c r="K23" i="1" s="1"/>
  <c r="N36" i="1"/>
  <c r="K36" i="1" s="1"/>
  <c r="N39" i="1"/>
  <c r="K39" i="1" s="1"/>
  <c r="O35" i="1"/>
  <c r="N32" i="1"/>
  <c r="K32" i="1" s="1"/>
  <c r="N34" i="1"/>
  <c r="K34" i="1" s="1"/>
  <c r="N24" i="1"/>
  <c r="K24" i="1" s="1"/>
  <c r="N31" i="1"/>
  <c r="K31" i="1" s="1"/>
  <c r="N30" i="1"/>
  <c r="K30" i="1" s="1"/>
  <c r="N27" i="1"/>
  <c r="K27" i="1" s="1"/>
  <c r="N20" i="1"/>
  <c r="K20" i="1" s="1"/>
  <c r="N19" i="1"/>
  <c r="K19" i="1" s="1"/>
  <c r="N18" i="1"/>
  <c r="K18" i="1" s="1"/>
  <c r="E24" i="1" l="1"/>
  <c r="E25" i="1"/>
  <c r="B25" i="1" s="1"/>
  <c r="C25" i="1" s="1"/>
  <c r="E27" i="1"/>
  <c r="B27" i="1" s="1"/>
  <c r="C27" i="1" s="1"/>
  <c r="E30" i="1"/>
  <c r="E31" i="1"/>
  <c r="B31" i="1" s="1"/>
  <c r="C31" i="1" s="1"/>
  <c r="E33" i="1"/>
  <c r="E34" i="1"/>
  <c r="E35" i="1"/>
  <c r="E36" i="1"/>
  <c r="E37" i="1"/>
  <c r="B37" i="1" s="1"/>
  <c r="C37" i="1" s="1"/>
  <c r="E38" i="1"/>
  <c r="B38" i="1" s="1"/>
  <c r="C38" i="1" s="1"/>
  <c r="E39" i="1"/>
  <c r="E19" i="1"/>
  <c r="E18" i="1"/>
  <c r="E15" i="1"/>
  <c r="F15" i="1"/>
  <c r="E49" i="1"/>
  <c r="F49" i="1"/>
  <c r="E50" i="1"/>
  <c r="B50" i="1" s="1"/>
  <c r="C50" i="1" s="1"/>
  <c r="F50" i="1"/>
  <c r="E51" i="1"/>
  <c r="B51" i="1" s="1"/>
  <c r="C51" i="1" s="1"/>
  <c r="F51" i="1"/>
  <c r="E52" i="1"/>
  <c r="F52" i="1"/>
  <c r="E53" i="1"/>
  <c r="F53" i="1"/>
  <c r="E54" i="1"/>
  <c r="B54" i="1" s="1"/>
  <c r="C54" i="1" s="1"/>
  <c r="F54" i="1"/>
  <c r="E55" i="1"/>
  <c r="B55" i="1" s="1"/>
  <c r="C55" i="1" s="1"/>
  <c r="F55" i="1"/>
  <c r="F47" i="1"/>
  <c r="F46" i="1"/>
  <c r="F18" i="1"/>
  <c r="F19" i="1"/>
  <c r="F24" i="1"/>
  <c r="F25" i="1"/>
  <c r="F27" i="1"/>
  <c r="F30" i="1"/>
  <c r="F31" i="1"/>
  <c r="F33" i="1"/>
  <c r="F34" i="1"/>
  <c r="F35" i="1"/>
  <c r="F36" i="1"/>
  <c r="F37" i="1"/>
  <c r="F38" i="1"/>
  <c r="F39" i="1"/>
  <c r="E46" i="1"/>
  <c r="E47" i="1"/>
  <c r="B47" i="1" s="1"/>
  <c r="C47" i="1" s="1"/>
  <c r="B35" i="1" l="1"/>
  <c r="C35" i="1" s="1"/>
  <c r="B46" i="1"/>
  <c r="B52" i="1"/>
  <c r="C52" i="1" s="1"/>
  <c r="B15" i="1"/>
  <c r="B34" i="1"/>
  <c r="C34" i="1" s="1"/>
  <c r="B53" i="1"/>
  <c r="C53" i="1" s="1"/>
  <c r="B49" i="1"/>
  <c r="C49" i="1" s="1"/>
  <c r="B36" i="1"/>
  <c r="C36" i="1" s="1"/>
  <c r="B24" i="1"/>
  <c r="C24" i="1" s="1"/>
  <c r="B18" i="1"/>
  <c r="C18" i="1" s="1"/>
  <c r="B33" i="1"/>
  <c r="C33" i="1" s="1"/>
  <c r="B19" i="1"/>
  <c r="C19" i="1" s="1"/>
  <c r="B39" i="1"/>
  <c r="C39" i="1" s="1"/>
  <c r="B30" i="1"/>
  <c r="C30" i="1" s="1"/>
  <c r="C46" i="1" l="1"/>
  <c r="C57" i="1" s="1"/>
  <c r="B57" i="1"/>
  <c r="C15" i="1"/>
  <c r="C43" i="1" s="1"/>
  <c r="B43" i="1"/>
</calcChain>
</file>

<file path=xl/sharedStrings.xml><?xml version="1.0" encoding="utf-8"?>
<sst xmlns="http://schemas.openxmlformats.org/spreadsheetml/2006/main" count="404" uniqueCount="220">
  <si>
    <t>stap 1a</t>
  </si>
  <si>
    <t>type ingreep:</t>
  </si>
  <si>
    <t>stap 1b</t>
  </si>
  <si>
    <t>Gebiedstype</t>
  </si>
  <si>
    <t>hoogte van bebouwing (in m)</t>
  </si>
  <si>
    <t>omvang project:</t>
  </si>
  <si>
    <t>Punten</t>
  </si>
  <si>
    <t>Type groen</t>
  </si>
  <si>
    <t>Huidige situatie</t>
  </si>
  <si>
    <t>Nieuwe situatie</t>
  </si>
  <si>
    <t>Verlies</t>
  </si>
  <si>
    <t>Behoud</t>
  </si>
  <si>
    <t>Nieuw</t>
  </si>
  <si>
    <t>aantal bomen</t>
  </si>
  <si>
    <t>m² gazon</t>
  </si>
  <si>
    <t>m² Kruiden- en faunarijk grasland</t>
  </si>
  <si>
    <t>2m hoge haag (lengte in m)</t>
  </si>
  <si>
    <t>lengte v/d geveltuin (in m)</t>
  </si>
  <si>
    <t>Gevelgroen (lengte v/d gevel in m)</t>
  </si>
  <si>
    <t>m² halfverharding</t>
  </si>
  <si>
    <t>Gebouw</t>
  </si>
  <si>
    <t>&lt; invullen &gt;</t>
  </si>
  <si>
    <t>Groen dak met sedum</t>
  </si>
  <si>
    <t xml:space="preserve">Groen dak met sedum en zonnepanelen </t>
  </si>
  <si>
    <t>Daktuin of biodivers dak</t>
  </si>
  <si>
    <t>Daktuin of biodivers dak met zonnepanelen</t>
  </si>
  <si>
    <t>Bruin dak</t>
  </si>
  <si>
    <t>Waterdak</t>
  </si>
  <si>
    <t>Groen waterdak</t>
  </si>
  <si>
    <t>Preventie raamslachtoffers onder vogels</t>
  </si>
  <si>
    <t>Steilwand voor bijen (incl. onderhoud) of ecologisch vergelijkbaar object (takkenhoop, stapelstenen, insectenhotel etc)</t>
  </si>
  <si>
    <t>Zoomvegetatie langs perceelsranden</t>
  </si>
  <si>
    <t>Pocketpark (minipark)</t>
  </si>
  <si>
    <t>Rustzone fauna langs wateroever</t>
  </si>
  <si>
    <t>Natuurvriendelijke oever</t>
  </si>
  <si>
    <t>Ecologische wadi</t>
  </si>
  <si>
    <t>Omgeving</t>
  </si>
  <si>
    <t>Spontane vegetatie tolereren (met beheer)</t>
  </si>
  <si>
    <t>groeiplaatsverbetering bomen</t>
  </si>
  <si>
    <t>Vermindering lichtuitstraling gebouw en/of buitenverlichting bij groen beperken</t>
  </si>
  <si>
    <t>vereist</t>
  </si>
  <si>
    <t>punten</t>
  </si>
  <si>
    <t xml:space="preserve">m² </t>
  </si>
  <si>
    <t>bomen of meer</t>
  </si>
  <si>
    <t>m² of meer</t>
  </si>
  <si>
    <t>m haag (lengte)</t>
  </si>
  <si>
    <t>natuurlijke Poel/vijver &gt;20m² (bonuspunt)</t>
  </si>
  <si>
    <t>m (lengte)</t>
  </si>
  <si>
    <t>Muur met muurplanten (lengte muur)</t>
  </si>
  <si>
    <t>Vergelijkbare beplanting groene structuur (advies ecoloog)</t>
  </si>
  <si>
    <t>x toepassen</t>
  </si>
  <si>
    <t>Faunapassage onder hekwerk (egel)</t>
  </si>
  <si>
    <t>Faunapassage onder hekwerk (das, vos, ree)</t>
  </si>
  <si>
    <t>Groen aanplant (m² groen in plangebied)</t>
  </si>
  <si>
    <t>m² groen</t>
  </si>
  <si>
    <t>Punten Omgeving</t>
  </si>
  <si>
    <t>m zoomvegetatie</t>
  </si>
  <si>
    <t>Drijvende oever (aantal)</t>
  </si>
  <si>
    <t>Behoud van groenstructuren (ecologisch advies)</t>
  </si>
  <si>
    <t>1x</t>
  </si>
  <si>
    <t>x 20 m² of meer</t>
  </si>
  <si>
    <t>natuurlijke Poel/vijver (10-20m2)</t>
  </si>
  <si>
    <t>m (lengte gevel)</t>
  </si>
  <si>
    <t>ecologisch lichtplan</t>
  </si>
  <si>
    <t>lichtverstoring vermijden</t>
  </si>
  <si>
    <t>Punten Gebouw</t>
  </si>
  <si>
    <t>m² dak of meer</t>
  </si>
  <si>
    <t>totaal aantal punten omgeving</t>
  </si>
  <si>
    <t>te behalen</t>
  </si>
  <si>
    <t>stap 3</t>
  </si>
  <si>
    <t>punten te behalen:</t>
  </si>
  <si>
    <t>stap 2</t>
  </si>
  <si>
    <t>wonen</t>
  </si>
  <si>
    <t>groene nieuwbouw</t>
  </si>
  <si>
    <t>&lt; hoogte invullen &gt;</t>
  </si>
  <si>
    <t>&lt; oppervlakte invullen &gt;</t>
  </si>
  <si>
    <t>maximale punten</t>
  </si>
  <si>
    <t>punt per boom</t>
  </si>
  <si>
    <t>punt per m² gazon</t>
  </si>
  <si>
    <t xml:space="preserve">punt per m² </t>
  </si>
  <si>
    <t>80 cm hoge haag (lengte in m)</t>
  </si>
  <si>
    <t>punt per m haag</t>
  </si>
  <si>
    <t>punt per vijver</t>
  </si>
  <si>
    <t>extra punt grote vijver</t>
  </si>
  <si>
    <t>punt per m muur</t>
  </si>
  <si>
    <t>punt per m tuin</t>
  </si>
  <si>
    <t>punt voor toepassen</t>
  </si>
  <si>
    <t>punt per object</t>
  </si>
  <si>
    <t>punt voor toegang egel</t>
  </si>
  <si>
    <t xml:space="preserve">punt voor toegang </t>
  </si>
  <si>
    <t>punt per m</t>
  </si>
  <si>
    <t>punt per m² dak</t>
  </si>
  <si>
    <t xml:space="preserve">punt per m </t>
  </si>
  <si>
    <t>punten voor toepassen</t>
  </si>
  <si>
    <t>totaal aantal punten gebouw</t>
  </si>
  <si>
    <t>punt per m2</t>
  </si>
  <si>
    <t>kroonoppervlak bomen in m2</t>
  </si>
  <si>
    <t>m2 kroonoppervlak</t>
  </si>
  <si>
    <t xml:space="preserve">punt per 33,33% </t>
  </si>
  <si>
    <t>% groeiplaatsverbetering</t>
  </si>
  <si>
    <t>aansluiting groene ruimte op stadsgroen</t>
  </si>
  <si>
    <t>m² bosplantsoen</t>
  </si>
  <si>
    <t>Gebruik "inheems" plantmateriaal</t>
  </si>
  <si>
    <t xml:space="preserve">3m hoge haag hoogte </t>
  </si>
  <si>
    <t>*op dit moment nog geen invloed op de puntentelling</t>
  </si>
  <si>
    <t>Punten Verblijven</t>
  </si>
  <si>
    <t>Verblijven</t>
  </si>
  <si>
    <t>Nestvoorziening gierzwaluw</t>
  </si>
  <si>
    <t>Nestvoorziening huismus</t>
  </si>
  <si>
    <t>Verblijfsvoorziening vleermuizen</t>
  </si>
  <si>
    <t>Nestvoorziening halfholenbroeders</t>
  </si>
  <si>
    <t>Overige soortspecifieke maatregel</t>
  </si>
  <si>
    <t xml:space="preserve">punt per verblijf </t>
  </si>
  <si>
    <t>verblijven</t>
  </si>
  <si>
    <t>verblijvem</t>
  </si>
  <si>
    <t>totaal aantal punten verblijven</t>
  </si>
  <si>
    <t>Aspect</t>
  </si>
  <si>
    <t>Maatregel</t>
  </si>
  <si>
    <t>Nadere omschrijving maatregel</t>
  </si>
  <si>
    <t>omgeving</t>
  </si>
  <si>
    <t xml:space="preserve">In clusters aanplanten van inheemse struiken met minimaal 3 soorten zoals bijvoorbeeld hulst, taxus, meidoorn, sleedoorn, hazelaar, vlier, gelderse roos, egelantier, vuilboom en/of krentenboompje. Maak bij deze maatregel gebruik van de "rassenlijst". Het oppervlak van de aan te leggen cluster voor de genoemde groene punten is afhankelijk van de projectomvang.   Maatregel uitvoeren conform ecologisch advies.                  </t>
  </si>
  <si>
    <t>m² gazon gerealiseerd binnen plangebied, waar soorten als merel voedsel kunnen zoeken</t>
  </si>
  <si>
    <t xml:space="preserve">Realiseren van bloemrijk grasland ter plaatse van gemeenschappelijk of openbaar groen waar deze van lage ecologische kwaliteit  is (wat nu gazon is). Het mag ook gaan om spontane ontwikkeling van braakliggende industrieterreinen. Inzaaien van bloemrijk grasland met inheems bloemenmengsel ter plaatse van openbaar / gemeenschappelijk groen: grassen met éénjarige kruidachtige soorten en overblijvende bloeiende vegetatie. Na inrichting overgaan op ecologisch beheer. Overstappen op ecologisch beheer is ook mogelijk. In dat geval hoeft niet ingezaaid te worden met andere soorten. Het grasland zal zich dan in de loop van de tijd veranderen in een bloemrijk grasland. Het oppervlak van het aan te leggen grasland voor de genoemde groene punten is afhankelijk van de projectomvang. Maatregel uitvoeren conform ecologisch advies.                                                                                                                                      </t>
  </si>
  <si>
    <t>Aanplant van hagen - al of niet ter vervanging van hekwerk/ schutting - met hoogte van tenminste 0,8 meter met bijvoorbeeld liguster, spaanse aak, zuurbes, hulst, beuk of haagbeuk. Maak bij deze maatregel gebruik van de "rassenlijst". Het volume van de aan te leggen natuurlijke haag voor de genoemde groene punten is afhankelijk van de projectomvang. Maatregel uitvoeren conform ecologisch advies.</t>
  </si>
  <si>
    <t>Aanplant van hagen - al of niet ter vervanging van hekwerk/ schutting - met breedte van tenminste 1 meter en hoogte van tenminste 1,5 meter met bijvoorbeeld liguster, spaanse aak, zuurbes, hulst, beuk of haagbeuk. Maak bij deze maatregel gebruik van de "rassenlijst". Voor een haag van 2 m. hoog zijn 2 startpunten te behalen. Voor een haag van 3 m. of hoger zijn 3 startpunten te behalen. Door de lengte van de haag te vergroten zijn extra punten te behalen. Het volume van de aan te leggen natuurlijke haag voor de genoemde groene punten is afhankelijk van de projectomvang. Maatregel uitvoeren conform ecologisch advies.</t>
  </si>
  <si>
    <t>Tegengaan van betegeling: gebruik halfverharding (zoals halfopen tegels) of natuurlijke verharding (houtsnippers of grind) over minimaal 25% grondoppervlak van de onbebouwde kavel met als voorwaarde dat de verharding niet bedoeld is als voetpad / loopverbinding. Deze maatregel is vooral van belang voor een klimaatadaptieve inrichting, maar is beperkter geschikt om biodiversiteit te vergroten. Maatregel uitvoeren conform ecologisch advies.</t>
  </si>
  <si>
    <r>
      <t xml:space="preserve">Realiseren van poel / vijver met minimaal 1 meter waterdiepte, 3 meter diameter en flauw talud; beplant inheemse oeverplanten: zoals gele lis, moerasandoorn, grote kattenstaart, moerassprirea, echte valeriaan, grote egelskop en inheemse waterplanten: witte waterlelie, gele plomp, watergentiaan, krabbescheer. Maatregel uitvoeren conform ecologisch advies.                                                                                                                                                                                                           
</t>
    </r>
    <r>
      <rPr>
        <b/>
        <sz val="11"/>
        <rFont val="Calibri"/>
        <family val="2"/>
        <scheme val="minor"/>
      </rPr>
      <t>Randvoorwaarden zijn te vinden op (www.ravon.nl)</t>
    </r>
    <r>
      <rPr>
        <sz val="11"/>
        <rFont val="Calibri"/>
        <family val="2"/>
        <scheme val="minor"/>
      </rPr>
      <t xml:space="preserve">	</t>
    </r>
  </si>
  <si>
    <t>door de vijver/poel &gt;20m² te maken kan een bonuspunt verdiend worden.</t>
  </si>
  <si>
    <t>Bij renovatie / restauratie aan oude muren met geschikte groeiplaatsen: rekening houden met verplaatsen van muurplanten en realiseren van muren met terugliggend voegwerk met kalkhoudende specie en vochtig metselwerk met afstromend regenwater of het realiseren van kademuren met een muurplantvriendelijke constructie die is voorzien van een smalle spouwmuur met vochthoudend materiaal om planten van voldoende water te voorzien, kalkhoudende specie en een terugliggende voeg. Het is ook toegestaan om een plantvriendelijke muur van bijv. stapelstenen en/of zachte mortel aan te leggen of de muur te integreren van de gevel van nieuwbouw. De lengte van de muur is afhankelijk van de projectomvang. Maatregel uitvoeren conform ecologisch advies.</t>
  </si>
  <si>
    <t>Versterk stedelijke ecologische hoofdstructuur door groene tuin rondom het gebouw hierop aan te laten sluiten, zowel qua ligging (laten grenzen) als qua inrichting (beplantingstypen). Zorg ervoor dat de type vegetaties op elkaar aansluiten. Maatregel uitvoeren conform ecologisch advies.</t>
  </si>
  <si>
    <t>Creeren van een steilwand (kaal talud van zand of leem) voor bijen op een aantal locaties in wijk- en buurtgroen in de directe omgeving van een gebouw en/of plaatsen van andere objecten zoals insectenstenen in 3 gebouwen, stapelstenen, insectenhotel etc.; plaatsing op zonnige plaats in nabijheid van bloemrijk grasland en/of ander groen. Punten alleen te behalen als er uitsluitend gebruik wordt gemaakt van duurzame materialen en onderhoud gepleegd wordt. Maatregel uitvoeren conform ecologisch advies.</t>
  </si>
  <si>
    <t xml:space="preserve">Realiseren van openingen onderaan schutting/ hekwerk voor kleine fauna (zoals egels): opening van minimaal 15x15cm. Deze maatregel is ook toe te passen door geen hekwerk te plaatsen, zodat het groen toegangkelijk is voor egels. Maatregel uitvoeren conform ecologisch advies. </t>
  </si>
  <si>
    <t>Realiseren van toegang tot groen voor grote fauna (zoals egels). Deze maatregel is o.a. toe te passen door geen hekwerk te plaatsen, zodat het groen toegangkelijk is voor das, vos, ree. Maatregel uitvoeren conform ecologisch advies. Deze maatregel is alleen toe te passen in gebieden die aansluiten op leefgebied van de genoemde soorten</t>
  </si>
  <si>
    <t>Tegengaan van betegeling: gebruik geen verharding over 25% van het onbebouwde grondoppervlak en beplant dit met stedelijk groen; het gaat daarbij om bosplantsoen met inheemse bomen en struiken. Maak bij deze maatregel gebruik van de "rassenlijst".  Maatregel uitvoeren conform ecologisch advies.</t>
  </si>
  <si>
    <t>Realiseren van ruige groene randen ter plaatse van groene dooradering waar deze van lage ecologische kwaliteit is (wat nu gazon is): ruigte van soorten als bijvoet (droog) en riet (nat). Binnen deze maatregel wordt natuurlijke ontwikkeling ook mogelijk gemaakt. Aanplanten van vegetatie is hier niet wenselijk. tenzij dit met kleinschalig beginnende struweelvormers gebeurt. De zoomvegetatiezone dient altijd een breedte van minimaal 2 meter te hebben. De lengte van de aan te planten vegetatie voor de genoemde groene punten is afhankelijk van de projectomvang. Maatregel uitvoeren conform ecologisch advies.</t>
  </si>
  <si>
    <t>Het gaat hierbij om de aanpant van afwisseling van gras, bloemrijke ruigte, struiken en bomen, al of niet gebruik maken van hoogteverschillen. Draagt bij aan de belevingswaarde. Door de aanplant van vegetatie op een kaal terrein wordt de biodiversiteit gestimuleerd. Maak bij deze maatregel gebruik van de "rassenlijst" of aantoonbaar autochtoon materiaal.  Het oppervlak van het aan te leggen pocketpark voor de genoemde groene punten is afhankelijk van de projectomvang. Maatregel uitvoeren conform ecologisch advies.</t>
  </si>
  <si>
    <t>Realiseer rustzone over oeverlengte voor dieren langs open water. Creeer delen van de oevers zonder verstoring door mensen en/of honden door gebruik van hoge vegetatie, padenstructuren en verplicht aanlijnen van honden. De lengte van de aan te leggen rustzone voor de genoemde groene punten is afhankelijk van de projectomvang. Maatregel uitvoeren conform ecologisch advies.</t>
  </si>
  <si>
    <r>
      <t xml:space="preserve">Open water voorzien van natuurvriendelijke oevers: een talud van 1:10                                                                                                                                                                                                                                                  </t>
    </r>
    <r>
      <rPr>
        <b/>
        <sz val="11"/>
        <rFont val="Calibri"/>
        <family val="2"/>
        <scheme val="minor"/>
      </rPr>
      <t>Randvoorwaarden</t>
    </r>
    <r>
      <rPr>
        <sz val="11"/>
        <rFont val="Calibri"/>
        <family val="2"/>
        <scheme val="minor"/>
      </rPr>
      <t xml:space="preserve"> </t>
    </r>
    <r>
      <rPr>
        <b/>
        <sz val="11"/>
        <rFont val="Calibri"/>
        <family val="2"/>
        <scheme val="minor"/>
      </rPr>
      <t>zijn te vinden op de websites van o.a. waterschappen. Maatregel uitvoeren conform ecologisch advies.</t>
    </r>
    <r>
      <rPr>
        <sz val="11"/>
        <rFont val="Calibri"/>
        <family val="2"/>
        <scheme val="minor"/>
      </rPr>
      <t xml:space="preserve">   
Maatregel uitvoeren conform ecologisch advies.             </t>
    </r>
  </si>
  <si>
    <t>Een drijvende oever of eilandje zijn toe te passen in bijvoorbeeld grachten. De vegetatie bestaat meestal uit semi-natuurlijkte begroeiing. Ze dragen bij aan kleinschalige natuurontwikkeling en kunnen gebruikt worden door o.a. watervogels (www.joostdevree.nl). Onderhoud van deze constructies is van belang om punten te kunnen behalen. Maatregel uitvoeren conform ecologisch advies.</t>
  </si>
  <si>
    <r>
      <t xml:space="preserve">Ecologische inrichting en beheer van wadi's, voor zover aanwezig; het gaat om een komvormige bufferings- en infiltratievoorziening, die tijdelijk gevuld is met hemelwater. Maatregel uitvoeren conform ecologisch advies.                                                                                                                                                                                       </t>
    </r>
    <r>
      <rPr>
        <b/>
        <sz val="11"/>
        <rFont val="Calibri"/>
        <family val="2"/>
        <scheme val="minor"/>
      </rPr>
      <t xml:space="preserve">Randvoorwaarden zijn te vinden op de websites van bijvoorbeeld STOWA
</t>
    </r>
  </si>
  <si>
    <t>Als er bij projecten wordt ingezet om het aanwezige groen en de aanwezige groenstructuren te behouden kunnen hier twee bonuspunten mee verdient worden. Maatregel uitvoeren conform ecologisch advies.</t>
  </si>
  <si>
    <t>Als er bij een nieuw project de kans voordoet om vegetatie spontaan te laten ontwikkelen deze kans ook benutten bij bijvoorbeeld halfopen verharding, boomspiegels etc. Hiermee kan er één extra bonuspunt verdient worden. Maatregel uitvoeren conform ecologisch advies.</t>
  </si>
  <si>
    <t>Gebruik maken van beplanting dat opgenomen is in de rassenlijst (www.rassenlijstbomen.nl). Maatregel uitvoeren conform ecologisch advies.</t>
  </si>
  <si>
    <t>dak</t>
  </si>
  <si>
    <t>Ook wel een stoeptegeltuintje genoemd. Door de aanleg van een geveltuin wordt het straatbeeld groener en krijgt de aanwezige biodiversiteit een boost. De planten groeien tegen de gevel aan en zorgen voor een betere waterinzijging. 
De geveltuin heeft een breedte vanaf 45 centimeter. Gebruik daarbij bij voorkeur inheemse, bloeiende planten.                                                                                                                                                                                                   
Maatregel uitvoeren conform ecologisch advies.</t>
  </si>
  <si>
    <t>Aanplant van gevelgroen (bijvoorbeeld klimop, bruidsluier, wingerd, vuurdoorn, clematis of kamperfoeli) op muur met weinig of geen ramen en bij voorkeur grondgebonden (plantgat minimaal 30 cm x 50 cm grondoppervlak). De breedte van het aan te planten gevelgroen voor de genoemde groene punten is afhankelijk van de projectomvang. Maatregel uitvoeren conform ecologisch advies.</t>
  </si>
  <si>
    <t xml:space="preserve">Tegengaan van uitstralen binnenverlichting en buitenverlichting. Hier gaat het bijvoorbeeld om verlichting van gebouwen, halfopen fietsenstallingen, portieken en galerijen. Beperken van verlichting tussen zonsondergang en zonsopgang of gebruik van afscherming middels slim ontwerp. Het gaat hier niet alleen over plaatsen waar de verlichting gericht is op de groene omgeving (openbaar groen), maar ook om andere locaties zoals bijvoorbeeld het stedelijk gebied of bedrijventerreinen: uitschakelen verlichting tussen zonsondergang en zonsopgang of gebruik van afscherming. Uit oogpunt van veiligheid kan het beperken van buitenverlichting bij groen betekenen dat de functies groen en wandel- en fietspaden niet samen gaan. De aanwezigheid van licht heeft effect op lichtgevoelige soorten zoals vleermuizen. Door de lichtuitstraling  te verminderen wordt de oriëntatie van lichtgevoelige soorten minder verstoord. Het draagt ook bij aan de energiebesparing en kan daarmee gekoppeld worden aan klimaatadaptatie. Met de uitvoer van deze maatregel conform een aantoonbaar ecologisch verantwoor verlichtingsplan kan 1 bonuspunt behaald worden. Maatregel uitvoeren conform ecologisch advies.
</t>
  </si>
  <si>
    <t>Aanleg van groen dak (van minimaal 5 cm dik) met sedum. Maatregel uitvoeren conform ecologisch advies.</t>
  </si>
  <si>
    <t>Door een groen dak met sedum (zoals beschreven in bovenstaande maatregel) te combineren met zonnepanelen wordt ook ingezet op duurzaamheid en energiezuinigheid. De aanwezigheid van het groen kan ertoe leiden dat de efficiente van de zonnepanelen verhoogd wordt door het absorberen en verdampen van regenwater, wat de omgevingstemperatuur verlaagd en weer leidt tot het beter functioneren van de zonnepanelen. Zonnepanelen leiden er wel toe dat er minder dakoppervlak beschikbaar is voor vegetatie. Om deze reden is deze maatregel, puur vanuit de ecologie bekeken, lager gescoord dan de maatregel zonder zonnepanelen. Maatregel uitvoeren conform ecologisch advies.</t>
  </si>
  <si>
    <t>Aanleg van daktuin (met grondlaag van minimaal 20cm dik). Maak gebruik van "rassenlijst" plantmateriaal. Daktuin scoort alleen punten als het sortiment ecologisch gezien nuttig is. Maatregel uitvoeren conform ecologisch advies.</t>
  </si>
  <si>
    <t>Door een daktuin of biodivers dak (zoals beschreven in bovenstaande maatregel) te combineren met zonnepanelen wordt ook ingezet op duurzaamheid en energiezuinigheid. De aanwezigheid van het groen kan ertoe leiden dat de efficiente van de zonnepanelen verhoogd wordt door het absorberen en verdampen van regenwater, wat de omgevingstemperatuur verlaagd en weer leidt tot het beter functioneren van de zonnepanelen. Zonnepanelen leiden er wel toe dat er minder dakoppervlak beschikbaar is voor vegetatie. Om deze reden is deze maatregel, puur vanuit de ecologie bekeken, lager gescoord dan de maatregel zonder zonnepanelen. Maatregel uitvoeren conform ecologisch advies.</t>
  </si>
  <si>
    <t>Het bruin dak is een variant van een biodivers dak, waarbij de aanwezige vegetatie zich op een meer natuurlijke manier ontwikkelt. De inrichting van een bruin dak komt overeen met een braakliggend terrein en is van grote waarde voor o.a. planten, insecten en vogels. Maatregel uitvoeren conform ecologisch advies.</t>
  </si>
  <si>
    <t>Op een waterdak blijft regenwater tijdelijk staan. Het water kan hierbij gebruikt worden als drinkwater voor bijvoorbeeld insecten en vogels. Maatregel uitvoeren conform ecologisch advies.</t>
  </si>
  <si>
    <t>De hierboven genoemde maatregel "waterdak" is uit te breiden als groen waterdak. Dit kan gedaan worden door het toepassen van geschikte waterplanten. Zelfs kan er een helofytenfilter toegepast worden die het opgevangen water filtert waardoor het weer voor andere toepassingen gebruikt kan worden zoals doorspoelen van toiletten of bluswater. Door de aanwezige watervegetatie kunnen bepaalde insecten en vogels aangetrokken worden, wat bijdraagt aan de biodiversiteit (www.vanvenrooy.nl/waterdaken). Maatregel uitvoeren conform ecologisch advies.</t>
  </si>
  <si>
    <t>Om te voorkomen dat vogels tegen ramen vliegen en daardoor gewond raken of sterven kunnen aanpassingen aan raampartijen gedaan worden. Dit kan bijvoorbeeld door het plakken van stickers of strepen met een tussenafstand van 10 cm, gebruik van vogelveiligheidsglas of niet-spiegelend glas (www.vogelbescherming.nl). Door het toepassen van raamstickers wordt voorkomen dat de omgeving in het raam weerspiegelt wordt en zien vogels hier geen vrije doorgang in. Het toepassen van roofvogelstickers is niet van meegenomen in deze maatregel. Maatregel uitvoeren conform ecologisch advies.</t>
  </si>
  <si>
    <t>Verblijf</t>
  </si>
  <si>
    <t>Nestvoorzieningen gierzwaluw</t>
  </si>
  <si>
    <t>Plaatsen van duurzame nestvoorzieningen voor gierzwaluw per gebouw indien geen geschikte openingen aanwezig in gebouw, deze dienen in een cluster te worden geplaatst. Hierbij kan gedacht worden aan kasten, neststenen, speciale dakpannen, openingen in dakgootbekisting etc. Randvoorwaarden voor gierzwaluwvoorzieningen zijn opgenomen in het Kennisdocument. Hier zijn de gewenste omstandigheden voor gierzwaluwen opgenomen. Afwijken hiervan is mogelijk, mits goed onderbouwd.                                                                                                                                                                  
Het aantal te plaatsen kasten is vooral afhankelijk van de geschiktheid van het gebied en de eventuele verwijderde nesten als gevolg van de werkzaamheden. Het aantal te plaatsen gierzwaluwvoorzieningen voor de genoemde groene punten is afhankelijk van de projectomvang. Maatregel uitvoeren conform ecologisch advies.</t>
  </si>
  <si>
    <t>Nestvoorzieningen huismus</t>
  </si>
  <si>
    <t>Plaatsen van duurzame inbouw nestvoorzieningen voor huismus per gebouw ter plaatse van dakranden. Hierbij kan gedacht worden aan kasten, inbouwstenen, dakgootconstructies etc. Geen vogelvide. Randvoorwaarden voor huismusvoorzieningen zijn opgenomen in het Kennisdocument. Hier zijn de gewenste omstandigheden voor huismus opgenomen. Afwijken hiervan is mogelijk, mits goed onderbouwd.                                                                                                                                                                  
Het aantal te plaatsen kasten is vooral afhankelijk van de geschiktheid van het gebied en de eventuele verwijderde nesten als gevolg van de werkzaamheden. Het aantal te plaatsen huismusvoorzieningen voor de genoemde groene punten is afhankelijk van de projectomvang. Maatregel uitvoeren conform ecologisch advies.</t>
  </si>
  <si>
    <t xml:space="preserve">Verblijfsvoorziening voor vleermuizen </t>
  </si>
  <si>
    <t>Voor vleermuizen kan groot en/of klein verblijf aangeboden worden.
Dit is afhankelijk van de huidige situatie en de behoefte. De plaatsing van een verblijfplaats dient altijd te gebeuren op basis van een ecologisch adviesrapport. Punten worden toegekend op basis van de inspanning en het type voorzieningen
Randvoorwaarden voor het plaatsen van vleermuisvoorzieningen zijn opgenomen in de soortspecifieke kennisdocumenten. Afwijken hiervan is mogelijk, mits goed onderbouwd. Om meer soorten kansen te bieden is varieren in grootte en windrichting belangrijk.                                                                                                                                                                                                                                                                                                                                                                                     Plaats verblijfplaatsen voor vleermuizen per gebouw grenzend aan het bestaande of nieuwe groen. Maak daarbij gebruik van loze ruimten in spouwmuur en/of dakrand. Voorkom op deze plaatsen verlichting van de gevel (aanstralen).                                                                                                                                                                           Realiseren van een massawintervoorziening, indien onvoldoende aanwezig binnen omgeving, is alleen mogelijk bij grootschalige projecten bij gebouwen met voldoende massa. Grote stenen en betonnen gebouwen (flats, appartementen) met spouwmuren komen hiervoor in aanmerking. Het aantal te plaatsen vleermuisnestvoorzieningten voor de genoemde groene punten is afhankelijk van de projectomvang.  Maatregel uitvoeren conform ecologisch advies.</t>
  </si>
  <si>
    <t>Nestvoorzieningen halfholenbroeders</t>
  </si>
  <si>
    <t>Plaatsen van duurzame nestvoorzieningen voor halfholenbroeders (zoals Zwarte roodstaart) per gebouw. Hierbij kan gedacht worden aan neststenen. Maatregel uitvoeren conform ecologisch advies.</t>
  </si>
  <si>
    <t xml:space="preserve">Indien de noodzaak van een maatregel voor een specifieke soort op een locatie niet is opgenomen heeft het uitvoeren van een maatregel ook geen nut. Maatregel uitvoeren conform ecologisch advies.   </t>
  </si>
  <si>
    <t>Aanplanten van “toekomst” bomen die inspelen op de klimaatverandering, in groengebieden bij voorkeur autochtoon plantmateriaal of plantmateriaal uit zuid Europa. Maak bij deze maatregel gebruik van de WUR soortentabel 460540 (wur.nl) Het vereiste aantal te planten bomen is afhankelijk van de projectomvang (6, 9 of 12 bomen). Maatregel uitvoeren conform ecologisch advies.</t>
  </si>
  <si>
    <t xml:space="preserve"> 1/3 groeiplaatsverbetering = marginaal = &gt; 18 m3 per boom*2/3 = redelijk = &gt;19 m3 per boom*
100%= optimaal = &gt; 24 m3 per boom*
Bij bestaande bomen gaat dit om groeiplaatsvergroting, en bij nieuwe bomen om groeiplaatsinrichting.
*Bij een toekomstboom gaat dit om een boom die minimaal 40 jaar oud kan worden. (Zie bijlage 2)
Maatregel invullen in overleg met boomadviseur van de gemeente.</t>
  </si>
  <si>
    <t>bebouwde oppervlakte nieuwe situatie (in m2)</t>
  </si>
  <si>
    <t>kroonoppervlak bomen in m2 (nieuwe situatie = 20 jaar)</t>
  </si>
  <si>
    <t>oppervlakte van totale plangebied    (in m2)</t>
  </si>
  <si>
    <t>Regulier (duurzaam groeiend)</t>
  </si>
  <si>
    <t>jaar</t>
  </si>
  <si>
    <t>Beoogde omloopcyclus</t>
  </si>
  <si>
    <t>i-Tree Canopy (kroonoppervlakte):</t>
  </si>
  <si>
    <t>Kroonprojectie</t>
  </si>
  <si>
    <t>m²</t>
  </si>
  <si>
    <t>i-Tree Canopy indicator</t>
  </si>
  <si>
    <t>(compensatie factor)</t>
  </si>
  <si>
    <t>3x</t>
  </si>
  <si>
    <t>4.7x</t>
  </si>
  <si>
    <t>6.7x</t>
  </si>
  <si>
    <t>i-Factor</t>
  </si>
  <si>
    <t>Referentiewaarden (gemiddelde) kroonprojectie:</t>
  </si>
  <si>
    <t>3e grootte</t>
  </si>
  <si>
    <t>-</t>
  </si>
  <si>
    <t>2e grootte</t>
  </si>
  <si>
    <t>1e grootte</t>
  </si>
  <si>
    <r>
      <t>I-TREE CANOPY</t>
    </r>
    <r>
      <rPr>
        <sz val="9"/>
        <color rgb="FF000000"/>
        <rFont val="Arial"/>
        <family val="2"/>
      </rPr>
      <t> "ECOSYSTEEMDIENSTEN"</t>
    </r>
  </si>
  <si>
    <r>
      <t>”Een volwassen boom van de 1e grootte moet, op grond van de kroonprojectie "canopy", door ruim 150 jonge bomen worden gecompenseerd wil de kroonprojectie overeenkomen.”</t>
    </r>
    <r>
      <rPr>
        <sz val="10.5"/>
        <color rgb="FF000000"/>
        <rFont val="Arial"/>
        <family val="2"/>
      </rPr>
      <t> </t>
    </r>
  </si>
  <si>
    <r>
      <t>i-Tree Canopy</t>
    </r>
    <r>
      <rPr>
        <sz val="10.5"/>
        <color rgb="FF000000"/>
        <rFont val="Arial"/>
        <family val="2"/>
      </rPr>
      <t> berekent de kroonprojectie van bomen (m2). De totale kroonbedekkingsgraad van een (woon)gebied is een belangrijke indicator voor een duurzaam groene en gezonde leefomgeving.</t>
    </r>
  </si>
  <si>
    <r>
      <t>Kroonprojectie: </t>
    </r>
    <r>
      <rPr>
        <sz val="9"/>
        <color rgb="FF000000"/>
        <rFont val="Arial"/>
        <family val="2"/>
      </rPr>
      <t>de kroonprojectie is een belangrijk kengetal voor de mate waarin een boom bijdraagt aan de Ecosysteemdiensten*. De getoonde kengetallen geven de kroonprojectie ‘Canopy’ (m2) weer die (op grond van het kroonbreedteverloop) is berekend voor de gekozen boom bij de verschillende omlopen. </t>
    </r>
  </si>
  <si>
    <r>
      <t>i-Factor: </t>
    </r>
    <r>
      <rPr>
        <sz val="9"/>
        <color rgb="FF000000"/>
        <rFont val="Arial"/>
        <family val="2"/>
      </rPr>
      <t>de i-Factor (indicator) toont het aantal vergelijkbare bomen die extra geplant zouden moeten worden wanneer je kiest voor een korte omloop om tot een zelfde bijdrage in de kroonprojectie te komen. Dan wel de i-Factor toont de meerwaarde, in kroonoppervlakte, bij de keuze en investering voor een lange omloop. </t>
    </r>
    <r>
      <rPr>
        <i/>
        <sz val="9"/>
        <color rgb="FF000000"/>
        <rFont val="Arial"/>
        <family val="2"/>
      </rPr>
      <t>Rekenvoorbeeld: bij de keuze van een boom van de 1e grootte met een omloop van 20 jaar (39 m2) moet je ca. 7 bomen aanplanten voor een vergelijkbare kroonprojectie van dezelfde boom met een omloop van 80 jaar (254 m2).</t>
    </r>
  </si>
  <si>
    <r>
      <t>*Ecosysteemdiensten:</t>
    </r>
    <r>
      <rPr>
        <sz val="9"/>
        <color rgb="FF000000"/>
        <rFont val="Arial"/>
        <family val="2"/>
      </rPr>
      <t> ecosysteemdiensten zijn baten die bomen genereren doordat zij bijdragen aan belangrijke ecologische processen zoals; de binding van fijnstof en CO2, de buffering en afvang van (regen)water en de belangrijke bijdrage om hittestress (hitte eilanden) in de bebouwde omgeving te verminderen. De groei en omvang van de kroonprojectie bepalen in zeer grote mate de bijdrage aan de baten van de ecosysteemdiensten (zie i-Factor).</t>
    </r>
  </si>
  <si>
    <r>
      <t>Referentiewaarden:</t>
    </r>
    <r>
      <rPr>
        <sz val="9"/>
        <color rgb="FF000000"/>
        <rFont val="Arial"/>
        <family val="2"/>
      </rPr>
      <t> de referentiewaarden geven de gemiddelden weer van het verloop van de kroonprojectie van bomen van de 1e, 2e en 3e grootte. Hiermee wordt de invloed van een keuze voor de boomgrootte en omloop zichtbaar in relatie tot de bijdrage aan de ecosysteemdiensten</t>
    </r>
  </si>
  <si>
    <r>
      <t>Benodigde doorwortelbare ruimte (m3) en grondvlak (m2):</t>
    </r>
    <r>
      <rPr>
        <sz val="11"/>
        <color theme="1"/>
        <rFont val="Calibri"/>
        <family val="2"/>
        <scheme val="minor"/>
      </rPr>
      <t> </t>
    </r>
  </si>
  <si>
    <t>(ambitieniveau) Optimaal</t>
  </si>
  <si>
    <t>13.7</t>
  </si>
  <si>
    <t>23.6</t>
  </si>
  <si>
    <t>29.4</t>
  </si>
  <si>
    <t>35.3</t>
  </si>
  <si>
    <t>m3</t>
  </si>
  <si>
    <t>m2</t>
  </si>
  <si>
    <t>(ambitieniveau) Redelijk</t>
  </si>
  <si>
    <t>18.8</t>
  </si>
  <si>
    <t>28.3</t>
  </si>
  <si>
    <t>(minimum niveau) Marginaal</t>
  </si>
  <si>
    <t>8.2</t>
  </si>
  <si>
    <t>14.1</t>
  </si>
  <si>
    <t>17.7</t>
  </si>
  <si>
    <t>21.2</t>
  </si>
  <si>
    <t>AMBITIENIVEAU</t>
  </si>
  <si>
    <t>De benodigde doorwortelbare ruimte (in m3 en m2) wordt door het programma berekend en weergegeven op 3 ambitieniveaus.</t>
  </si>
  <si>
    <r>
      <t>OPTIMAAL:</t>
    </r>
    <r>
      <rPr>
        <sz val="10.5"/>
        <color rgb="FF000000"/>
        <rFont val="Open Sans"/>
        <family val="2"/>
      </rPr>
      <t> is het ambitieniveau dat wordt gekozen voor een optimale uitgangspositie voor de boom.</t>
    </r>
  </si>
  <si>
    <r>
      <t>REDELIJK:</t>
    </r>
    <r>
      <rPr>
        <sz val="10.5"/>
        <color rgb="FF000000"/>
        <rFont val="Open Sans"/>
        <family val="2"/>
      </rPr>
      <t> is het ambitieniveau dat wordt gekozen voor een gemiddelde (basisnorm) uitgangspositie voor de boom.</t>
    </r>
  </si>
  <si>
    <r>
      <t>MARGINAAL:</t>
    </r>
    <r>
      <rPr>
        <sz val="10.5"/>
        <color rgb="FF000000"/>
        <rFont val="Open Sans"/>
        <family val="2"/>
      </rPr>
      <t> geldt als de ondergrens voor de gekozen optie.</t>
    </r>
  </si>
  <si>
    <r>
      <t>Let op: </t>
    </r>
    <r>
      <rPr>
        <sz val="10.5"/>
        <color rgb="FF000000"/>
        <rFont val="Open Sans"/>
        <family val="2"/>
      </rPr>
      <t>Wanneer aan de ondergrens MARGINAAL niet kan worden voldaan is het aanpassen van de uitgangspunten van de berekening noodzakelijk om te komen tot een verantwoorde groeiplaatskeuze.</t>
    </r>
  </si>
  <si>
    <t>2/3</t>
  </si>
  <si>
    <t>1/3</t>
  </si>
  <si>
    <t>Bijlage B info uit de boommonitor</t>
  </si>
  <si>
    <t xml:space="preserve">Kroonoppervlak bomen in m2 te bepalen door middel van i-tree canopy met de  bomenmonitor van Norminstituut bomen. 
Het vereiste aan te leggen kroonoppervlak is afhankelijk van de projectomvang. Maatregel invullen in overleg met boomadviseur van de gemeente.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</si>
</sst>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2">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b/>
      <sz val="16"/>
      <name val="Calibri"/>
      <family val="2"/>
      <scheme val="minor"/>
    </font>
    <font>
      <sz val="8"/>
      <name val="Calibri"/>
      <family val="2"/>
      <scheme val="minor"/>
    </font>
    <font>
      <sz val="18"/>
      <color rgb="FF000000"/>
      <name val="Arial"/>
      <family val="2"/>
    </font>
    <font>
      <sz val="11"/>
      <name val="Calibri"/>
      <family val="2"/>
      <scheme val="minor"/>
    </font>
    <font>
      <b/>
      <sz val="11"/>
      <name val="Calibri"/>
      <family val="2"/>
      <scheme val="minor"/>
    </font>
    <font>
      <sz val="11"/>
      <color theme="1"/>
      <name val="Calibri"/>
      <family val="2"/>
      <scheme val="minor"/>
    </font>
    <font>
      <sz val="11"/>
      <color rgb="FF000000"/>
      <name val="Calibri"/>
      <family val="2"/>
      <scheme val="minor"/>
    </font>
    <font>
      <sz val="11"/>
      <color rgb="FF000000"/>
      <name val="Calibri"/>
      <family val="2"/>
    </font>
    <font>
      <sz val="8.5"/>
      <color rgb="FF3F3F3F"/>
      <name val="Arial"/>
      <family val="2"/>
    </font>
    <font>
      <b/>
      <sz val="9"/>
      <color rgb="FF3F3F3F"/>
      <name val="Arial"/>
      <family val="2"/>
    </font>
    <font>
      <b/>
      <sz val="8.5"/>
      <color rgb="FF3F3F3F"/>
      <name val="Arial"/>
      <family val="2"/>
    </font>
    <font>
      <b/>
      <sz val="9"/>
      <color rgb="FF000000"/>
      <name val="Arial"/>
      <family val="2"/>
    </font>
    <font>
      <sz val="9"/>
      <color rgb="FF000000"/>
      <name val="Arial"/>
      <family val="2"/>
    </font>
    <font>
      <i/>
      <sz val="10.5"/>
      <color rgb="FF000000"/>
      <name val="Arial"/>
      <family val="2"/>
    </font>
    <font>
      <sz val="10.5"/>
      <color rgb="FF000000"/>
      <name val="Arial"/>
      <family val="2"/>
    </font>
    <font>
      <b/>
      <sz val="10.5"/>
      <color rgb="FF000000"/>
      <name val="Arial"/>
      <family val="2"/>
    </font>
    <font>
      <i/>
      <sz val="9"/>
      <color rgb="FF000000"/>
      <name val="Arial"/>
      <family val="2"/>
    </font>
    <font>
      <b/>
      <sz val="8.5"/>
      <color rgb="FF2C8500"/>
      <name val="Arial"/>
      <family val="2"/>
    </font>
    <font>
      <i/>
      <sz val="8.5"/>
      <color rgb="FF2C8500"/>
      <name val="Arial"/>
      <family val="2"/>
    </font>
    <font>
      <b/>
      <sz val="8.5"/>
      <color rgb="FF9E9605"/>
      <name val="Arial"/>
      <family val="2"/>
    </font>
    <font>
      <i/>
      <sz val="8.5"/>
      <color rgb="FF9E9605"/>
      <name val="Arial"/>
      <family val="2"/>
    </font>
    <font>
      <b/>
      <sz val="8.5"/>
      <color rgb="FFE28A06"/>
      <name val="Arial"/>
      <family val="2"/>
    </font>
    <font>
      <i/>
      <sz val="8.5"/>
      <color rgb="FFE28A06"/>
      <name val="Arial"/>
      <family val="2"/>
    </font>
    <font>
      <sz val="11"/>
      <color rgb="FFFFFFFF"/>
      <name val="Calibri"/>
      <family val="2"/>
      <scheme val="minor"/>
    </font>
    <font>
      <sz val="18"/>
      <color rgb="FF000000"/>
      <name val="PFDinMedium"/>
    </font>
    <font>
      <sz val="10.5"/>
      <color rgb="FF000000"/>
      <name val="Open Sans"/>
      <family val="2"/>
    </font>
    <font>
      <b/>
      <sz val="10.5"/>
      <color rgb="FF000000"/>
      <name val="Open Sans"/>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1"/>
        <bgColor indexed="64"/>
      </patternFill>
    </fill>
    <fill>
      <patternFill patternType="solid">
        <fgColor rgb="FFF8CBAD"/>
        <bgColor rgb="FF000000"/>
      </patternFill>
    </fill>
    <fill>
      <patternFill patternType="solid">
        <fgColor theme="5" tint="0.59999389629810485"/>
        <bgColor rgb="FF000000"/>
      </patternFill>
    </fill>
    <fill>
      <patternFill patternType="solid">
        <fgColor rgb="FFFFFFFF"/>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A3A3A3"/>
      </left>
      <right style="medium">
        <color rgb="FFA3A3A3"/>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
      <left style="medium">
        <color rgb="FFA3A3A3"/>
      </left>
      <right style="medium">
        <color rgb="FFA3A3A3"/>
      </right>
      <top/>
      <bottom/>
      <diagonal/>
    </border>
    <border>
      <left/>
      <right style="medium">
        <color rgb="FFA3A3A3"/>
      </right>
      <top/>
      <bottom style="medium">
        <color rgb="FFA3A3A3"/>
      </bottom>
      <diagonal/>
    </border>
    <border>
      <left style="medium">
        <color rgb="FFA3A3A3"/>
      </left>
      <right style="medium">
        <color rgb="FFA3A3A3"/>
      </right>
      <top style="medium">
        <color rgb="FFA3A3A3"/>
      </top>
      <bottom/>
      <diagonal/>
    </border>
  </borders>
  <cellStyleXfs count="1">
    <xf numFmtId="0" fontId="0" fillId="0" borderId="0"/>
  </cellStyleXfs>
  <cellXfs count="197">
    <xf numFmtId="0" fontId="0" fillId="0" borderId="0" xfId="0"/>
    <xf numFmtId="0" fontId="1" fillId="2" borderId="1" xfId="0" applyFont="1" applyFill="1" applyBorder="1" applyAlignment="1">
      <alignment horizontal="center"/>
    </xf>
    <xf numFmtId="0" fontId="0" fillId="0" borderId="0" xfId="0" applyAlignment="1">
      <alignment horizontal="center"/>
    </xf>
    <xf numFmtId="0" fontId="3" fillId="0" borderId="0" xfId="0" applyFont="1"/>
    <xf numFmtId="0" fontId="0" fillId="0" borderId="0" xfId="0"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8"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4" fillId="0" borderId="13" xfId="0" applyFont="1" applyFill="1" applyBorder="1" applyAlignment="1">
      <alignment horizontal="center"/>
    </xf>
    <xf numFmtId="0" fontId="4" fillId="0" borderId="13" xfId="0" applyFont="1" applyFill="1" applyBorder="1"/>
    <xf numFmtId="0" fontId="4" fillId="0" borderId="11" xfId="0" applyFont="1" applyFill="1" applyBorder="1"/>
    <xf numFmtId="0" fontId="0" fillId="5" borderId="14" xfId="0" applyFill="1" applyBorder="1" applyAlignment="1">
      <alignment horizontal="center"/>
    </xf>
    <xf numFmtId="0" fontId="0" fillId="0" borderId="14" xfId="0" applyBorder="1" applyAlignment="1">
      <alignment horizontal="center"/>
    </xf>
    <xf numFmtId="49" fontId="2" fillId="4" borderId="12"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0" fontId="0" fillId="0" borderId="7" xfId="0" applyBorder="1" applyAlignment="1">
      <alignment horizontal="center"/>
    </xf>
    <xf numFmtId="0" fontId="0" fillId="0" borderId="13"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0" fillId="5" borderId="14" xfId="0" applyFill="1" applyBorder="1" applyAlignment="1">
      <alignment horizontal="center"/>
    </xf>
    <xf numFmtId="0" fontId="0" fillId="0" borderId="14" xfId="0" applyFill="1" applyBorder="1" applyAlignment="1">
      <alignment horizontal="center"/>
    </xf>
    <xf numFmtId="0" fontId="0" fillId="5" borderId="14" xfId="0" applyFill="1" applyBorder="1"/>
    <xf numFmtId="0" fontId="0" fillId="0" borderId="14" xfId="0" applyFill="1" applyBorder="1"/>
    <xf numFmtId="0" fontId="0" fillId="0" borderId="0" xfId="0" applyAlignment="1">
      <alignment horizontal="left"/>
    </xf>
    <xf numFmtId="0" fontId="0" fillId="0" borderId="15" xfId="0"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left"/>
    </xf>
    <xf numFmtId="0" fontId="0" fillId="5" borderId="19" xfId="0" applyFill="1" applyBorder="1" applyAlignment="1">
      <alignment horizontal="center"/>
    </xf>
    <xf numFmtId="0" fontId="0" fillId="0" borderId="19" xfId="0" applyFill="1" applyBorder="1" applyAlignment="1">
      <alignment horizontal="center"/>
    </xf>
    <xf numFmtId="0" fontId="0" fillId="5" borderId="20" xfId="0" applyFill="1" applyBorder="1" applyAlignment="1">
      <alignment horizontal="center"/>
    </xf>
    <xf numFmtId="0" fontId="0" fillId="5" borderId="16" xfId="0" applyFill="1" applyBorder="1" applyAlignment="1">
      <alignment horizontal="center"/>
    </xf>
    <xf numFmtId="0" fontId="0" fillId="5" borderId="15" xfId="0" applyFill="1" applyBorder="1" applyAlignment="1">
      <alignment horizontal="center"/>
    </xf>
    <xf numFmtId="0" fontId="0" fillId="0" borderId="15" xfId="0" applyBorder="1" applyAlignment="1">
      <alignment horizontal="center"/>
    </xf>
    <xf numFmtId="0" fontId="0" fillId="5" borderId="21" xfId="0" applyFill="1" applyBorder="1" applyAlignment="1">
      <alignment horizontal="center"/>
    </xf>
    <xf numFmtId="0" fontId="0" fillId="0" borderId="21" xfId="0" applyFill="1" applyBorder="1" applyAlignment="1">
      <alignment horizontal="center"/>
    </xf>
    <xf numFmtId="0" fontId="0" fillId="0" borderId="0" xfId="0" applyFill="1"/>
    <xf numFmtId="0" fontId="0" fillId="0" borderId="22" xfId="0" applyFill="1" applyBorder="1" applyAlignment="1">
      <alignment horizont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4" fillId="0" borderId="13" xfId="0" applyFont="1" applyFill="1" applyBorder="1" applyAlignment="1">
      <alignment horizontal="left"/>
    </xf>
    <xf numFmtId="0" fontId="0" fillId="5" borderId="16" xfId="0" applyFill="1" applyBorder="1" applyAlignment="1">
      <alignment vertical="center" wrapText="1"/>
    </xf>
    <xf numFmtId="49" fontId="0" fillId="5" borderId="14" xfId="0" applyNumberFormat="1" applyFill="1" applyBorder="1" applyAlignment="1">
      <alignment horizontal="center" vertical="center" wrapText="1"/>
    </xf>
    <xf numFmtId="49" fontId="0" fillId="0" borderId="14" xfId="0" applyNumberFormat="1" applyFill="1" applyBorder="1" applyAlignment="1">
      <alignment horizontal="center" vertical="top" wrapText="1"/>
    </xf>
    <xf numFmtId="49" fontId="0" fillId="5" borderId="14" xfId="0" applyNumberFormat="1" applyFill="1" applyBorder="1" applyAlignment="1">
      <alignment horizontal="center" vertical="top" wrapText="1"/>
    </xf>
    <xf numFmtId="0" fontId="0" fillId="0" borderId="13" xfId="0" applyBorder="1" applyAlignment="1">
      <alignment horizontal="left"/>
    </xf>
    <xf numFmtId="0" fontId="0" fillId="0" borderId="20" xfId="0" applyBorder="1" applyAlignment="1">
      <alignment horizontal="center"/>
    </xf>
    <xf numFmtId="0" fontId="0" fillId="0" borderId="20" xfId="0" applyFill="1" applyBorder="1"/>
    <xf numFmtId="0" fontId="0" fillId="5" borderId="20" xfId="0" applyFill="1" applyBorder="1"/>
    <xf numFmtId="0" fontId="4" fillId="0" borderId="13" xfId="0" applyFont="1" applyBorder="1" applyAlignment="1">
      <alignment horizontal="center"/>
    </xf>
    <xf numFmtId="0" fontId="0" fillId="5" borderId="14" xfId="0" applyFill="1" applyBorder="1" applyAlignment="1">
      <alignment horizontal="center"/>
    </xf>
    <xf numFmtId="0" fontId="0" fillId="0" borderId="14" xfId="0" applyFill="1" applyBorder="1" applyAlignment="1">
      <alignment horizontal="center"/>
    </xf>
    <xf numFmtId="0" fontId="0" fillId="0" borderId="26" xfId="0" applyFill="1" applyBorder="1" applyAlignment="1">
      <alignment horizontal="center"/>
    </xf>
    <xf numFmtId="0" fontId="0" fillId="5" borderId="21" xfId="0" applyFill="1" applyBorder="1" applyAlignment="1">
      <alignment horizontal="center" vertical="center"/>
    </xf>
    <xf numFmtId="0" fontId="0" fillId="5" borderId="26" xfId="0" applyFill="1" applyBorder="1" applyAlignment="1">
      <alignment horizontal="center"/>
    </xf>
    <xf numFmtId="49" fontId="2" fillId="4" borderId="17" xfId="0" applyNumberFormat="1" applyFont="1" applyFill="1" applyBorder="1" applyAlignment="1">
      <alignment horizontal="center" vertical="center" wrapText="1"/>
    </xf>
    <xf numFmtId="0" fontId="0" fillId="0" borderId="25" xfId="0" applyFill="1" applyBorder="1" applyAlignment="1">
      <alignment horizontal="left"/>
    </xf>
    <xf numFmtId="0" fontId="0" fillId="0" borderId="29" xfId="0" applyFill="1" applyBorder="1" applyAlignment="1">
      <alignment horizontal="left"/>
    </xf>
    <xf numFmtId="0" fontId="0" fillId="5" borderId="18" xfId="0" applyFill="1" applyBorder="1" applyAlignment="1">
      <alignment horizontal="left"/>
    </xf>
    <xf numFmtId="0" fontId="0" fillId="5" borderId="18" xfId="0" applyFill="1" applyBorder="1" applyAlignment="1">
      <alignment horizontal="left" vertical="center"/>
    </xf>
    <xf numFmtId="0" fontId="0" fillId="5" borderId="25" xfId="0" applyFill="1" applyBorder="1" applyAlignment="1">
      <alignment horizontal="left"/>
    </xf>
    <xf numFmtId="0" fontId="0" fillId="5" borderId="25" xfId="0" applyFill="1" applyBorder="1"/>
    <xf numFmtId="0" fontId="0" fillId="0" borderId="18" xfId="0" applyFill="1" applyBorder="1"/>
    <xf numFmtId="0" fontId="0" fillId="0" borderId="13" xfId="0" applyFill="1" applyBorder="1" applyAlignment="1">
      <alignment horizontal="center"/>
    </xf>
    <xf numFmtId="0" fontId="0" fillId="0" borderId="11" xfId="0" applyFill="1" applyBorder="1" applyAlignment="1">
      <alignment horizontal="left"/>
    </xf>
    <xf numFmtId="0" fontId="7" fillId="0" borderId="0" xfId="0" applyFont="1"/>
    <xf numFmtId="164" fontId="0" fillId="0" borderId="19" xfId="0" applyNumberFormat="1" applyFill="1" applyBorder="1" applyAlignment="1">
      <alignment horizontal="center"/>
    </xf>
    <xf numFmtId="0" fontId="0" fillId="0" borderId="10" xfId="0" applyFill="1" applyBorder="1" applyAlignment="1">
      <alignment horizontal="left"/>
    </xf>
    <xf numFmtId="0" fontId="0" fillId="5" borderId="29" xfId="0" applyFill="1" applyBorder="1" applyAlignment="1">
      <alignment horizontal="left"/>
    </xf>
    <xf numFmtId="164" fontId="0" fillId="5" borderId="19" xfId="0" applyNumberFormat="1" applyFill="1" applyBorder="1" applyAlignment="1">
      <alignment horizontal="center" vertical="center"/>
    </xf>
    <xf numFmtId="0" fontId="0" fillId="5" borderId="19" xfId="0" applyFill="1" applyBorder="1" applyAlignment="1">
      <alignment horizontal="center" vertical="center"/>
    </xf>
    <xf numFmtId="0" fontId="0" fillId="0" borderId="16" xfId="0" applyBorder="1" applyAlignment="1">
      <alignment horizontal="center"/>
    </xf>
    <xf numFmtId="0" fontId="0" fillId="5" borderId="16" xfId="0" applyFill="1" applyBorder="1" applyAlignment="1">
      <alignment horizontal="center" vertical="center" wrapText="1"/>
    </xf>
    <xf numFmtId="0" fontId="0" fillId="5" borderId="18" xfId="0" applyFill="1" applyBorder="1"/>
    <xf numFmtId="0" fontId="0" fillId="5" borderId="18" xfId="0" applyFill="1" applyBorder="1" applyAlignment="1">
      <alignment vertical="center" wrapText="1"/>
    </xf>
    <xf numFmtId="0" fontId="0" fillId="0" borderId="18" xfId="0" applyBorder="1"/>
    <xf numFmtId="0" fontId="0" fillId="0" borderId="11" xfId="0" applyBorder="1" applyAlignment="1">
      <alignment horizontal="left"/>
    </xf>
    <xf numFmtId="0" fontId="0" fillId="5" borderId="0" xfId="0" applyFill="1" applyBorder="1" applyAlignment="1">
      <alignment horizontal="center"/>
    </xf>
    <xf numFmtId="0" fontId="0" fillId="5" borderId="10" xfId="0" applyFill="1" applyBorder="1" applyAlignment="1">
      <alignment horizontal="left"/>
    </xf>
    <xf numFmtId="0" fontId="0" fillId="5" borderId="14" xfId="0" applyFill="1" applyBorder="1" applyAlignment="1">
      <alignment horizontal="center"/>
    </xf>
    <xf numFmtId="0" fontId="0" fillId="5" borderId="20" xfId="0" applyFill="1" applyBorder="1" applyAlignment="1">
      <alignment horizontal="center"/>
    </xf>
    <xf numFmtId="0" fontId="0" fillId="0" borderId="14" xfId="0" applyFill="1" applyBorder="1" applyAlignment="1">
      <alignment horizontal="center"/>
    </xf>
    <xf numFmtId="0" fontId="0" fillId="5" borderId="14" xfId="0" applyFill="1" applyBorder="1" applyAlignment="1">
      <alignment horizontal="center"/>
    </xf>
    <xf numFmtId="0" fontId="0" fillId="6" borderId="30" xfId="0" applyFill="1" applyBorder="1" applyAlignment="1">
      <alignment horizontal="center"/>
    </xf>
    <xf numFmtId="0" fontId="0" fillId="6" borderId="20" xfId="0" applyFill="1" applyBorder="1" applyAlignment="1">
      <alignment horizontal="center"/>
    </xf>
    <xf numFmtId="0" fontId="0" fillId="6" borderId="31" xfId="0" applyFill="1" applyBorder="1" applyAlignment="1">
      <alignment horizontal="center"/>
    </xf>
    <xf numFmtId="0" fontId="0" fillId="6" borderId="32" xfId="0" applyFill="1" applyBorder="1"/>
    <xf numFmtId="0" fontId="0" fillId="6" borderId="19" xfId="0" applyFill="1" applyBorder="1"/>
    <xf numFmtId="0" fontId="0" fillId="6" borderId="33" xfId="0" applyFill="1" applyBorder="1"/>
    <xf numFmtId="2" fontId="0" fillId="5" borderId="19" xfId="0" applyNumberFormat="1" applyFill="1" applyBorder="1" applyAlignment="1">
      <alignment horizontal="center"/>
    </xf>
    <xf numFmtId="2" fontId="0" fillId="0" borderId="19" xfId="0" applyNumberFormat="1" applyFill="1" applyBorder="1" applyAlignment="1">
      <alignment horizontal="center"/>
    </xf>
    <xf numFmtId="0" fontId="8" fillId="7" borderId="0" xfId="0" applyFont="1" applyFill="1"/>
    <xf numFmtId="0" fontId="9" fillId="7" borderId="1" xfId="0" applyFont="1" applyFill="1" applyBorder="1" applyAlignment="1">
      <alignment horizontal="center"/>
    </xf>
    <xf numFmtId="0" fontId="8" fillId="7" borderId="0" xfId="0" applyFont="1" applyFill="1" applyAlignment="1">
      <alignment horizontal="center"/>
    </xf>
    <xf numFmtId="49" fontId="8" fillId="7" borderId="3" xfId="0" applyNumberFormat="1" applyFont="1" applyFill="1" applyBorder="1" applyAlignment="1">
      <alignment horizontal="center" vertical="center" wrapText="1"/>
    </xf>
    <xf numFmtId="0" fontId="8" fillId="7" borderId="14" xfId="0" applyFont="1" applyFill="1" applyBorder="1" applyAlignment="1">
      <alignment horizontal="center"/>
    </xf>
    <xf numFmtId="0" fontId="5" fillId="7" borderId="6" xfId="0" applyFont="1" applyFill="1" applyBorder="1" applyAlignment="1">
      <alignment horizontal="center"/>
    </xf>
    <xf numFmtId="49" fontId="2" fillId="4" borderId="0" xfId="0" applyNumberFormat="1" applyFont="1" applyFill="1" applyAlignment="1">
      <alignment horizontal="center" vertical="center" wrapText="1"/>
    </xf>
    <xf numFmtId="49" fontId="2" fillId="4" borderId="0" xfId="0" applyNumberFormat="1" applyFont="1" applyFill="1" applyAlignment="1">
      <alignment vertical="center" wrapText="1"/>
    </xf>
    <xf numFmtId="49" fontId="2" fillId="4" borderId="34" xfId="0" applyNumberFormat="1" applyFont="1" applyFill="1" applyBorder="1" applyAlignment="1">
      <alignment horizontal="left" vertical="center" wrapText="1"/>
    </xf>
    <xf numFmtId="49" fontId="0" fillId="0" borderId="0" xfId="0" applyNumberFormat="1" applyAlignment="1">
      <alignment vertical="center"/>
    </xf>
    <xf numFmtId="49" fontId="0" fillId="0" borderId="14" xfId="0" applyNumberFormat="1" applyBorder="1" applyAlignment="1">
      <alignment horizontal="center" vertical="center"/>
    </xf>
    <xf numFmtId="0" fontId="11" fillId="0" borderId="14" xfId="0" applyFont="1" applyBorder="1" applyAlignment="1">
      <alignment horizontal="center" vertical="center"/>
    </xf>
    <xf numFmtId="49" fontId="0" fillId="0" borderId="14" xfId="0" applyNumberFormat="1" applyBorder="1" applyAlignment="1">
      <alignment horizontal="left" vertical="center" wrapText="1"/>
    </xf>
    <xf numFmtId="0" fontId="11" fillId="0" borderId="14" xfId="0" applyFont="1" applyBorder="1" applyAlignment="1">
      <alignment horizontal="left" vertical="center" wrapText="1"/>
    </xf>
    <xf numFmtId="49" fontId="0" fillId="5" borderId="14" xfId="0" applyNumberFormat="1" applyFill="1" applyBorder="1" applyAlignment="1">
      <alignment horizontal="center" vertical="center"/>
    </xf>
    <xf numFmtId="0" fontId="11" fillId="8" borderId="14" xfId="0" applyFont="1" applyFill="1" applyBorder="1" applyAlignment="1">
      <alignment horizontal="center" vertical="center"/>
    </xf>
    <xf numFmtId="49" fontId="0" fillId="5" borderId="14" xfId="0" applyNumberFormat="1" applyFill="1" applyBorder="1" applyAlignment="1">
      <alignment horizontal="left" vertical="center" wrapText="1"/>
    </xf>
    <xf numFmtId="49" fontId="8" fillId="0" borderId="14" xfId="0" applyNumberFormat="1" applyFont="1" applyBorder="1" applyAlignment="1">
      <alignment horizontal="left" vertical="center" wrapText="1"/>
    </xf>
    <xf numFmtId="49" fontId="8" fillId="5" borderId="35" xfId="0" applyNumberFormat="1" applyFont="1" applyFill="1" applyBorder="1" applyAlignment="1">
      <alignment horizontal="left" vertical="center" wrapText="1"/>
    </xf>
    <xf numFmtId="49" fontId="8" fillId="5" borderId="14" xfId="0" applyNumberFormat="1" applyFont="1" applyFill="1" applyBorder="1" applyAlignment="1">
      <alignment horizontal="left" vertical="center" wrapText="1"/>
    </xf>
    <xf numFmtId="0" fontId="11" fillId="0" borderId="14" xfId="0" applyFont="1" applyBorder="1" applyAlignment="1">
      <alignment vertical="center"/>
    </xf>
    <xf numFmtId="0" fontId="11" fillId="8" borderId="14" xfId="0" applyFont="1" applyFill="1" applyBorder="1" applyAlignment="1">
      <alignment horizontal="center" vertical="center" wrapText="1"/>
    </xf>
    <xf numFmtId="49" fontId="10" fillId="0" borderId="14" xfId="0" applyNumberFormat="1" applyFont="1" applyBorder="1" applyAlignment="1">
      <alignment horizontal="left" vertical="center" wrapText="1"/>
    </xf>
    <xf numFmtId="49" fontId="0" fillId="0" borderId="0" xfId="0" applyNumberFormat="1" applyAlignment="1">
      <alignment horizontal="center" vertical="center"/>
    </xf>
    <xf numFmtId="0" fontId="11" fillId="0" borderId="34" xfId="0" applyFont="1" applyBorder="1" applyAlignment="1">
      <alignment horizontal="center" vertical="center"/>
    </xf>
    <xf numFmtId="49" fontId="0" fillId="0" borderId="0" xfId="0" applyNumberFormat="1" applyAlignment="1">
      <alignment horizontal="left" vertical="center" wrapText="1"/>
    </xf>
    <xf numFmtId="0" fontId="11" fillId="9" borderId="14" xfId="0" applyFont="1" applyFill="1" applyBorder="1" applyAlignment="1">
      <alignment horizontal="center" vertical="center"/>
    </xf>
    <xf numFmtId="0" fontId="11" fillId="9" borderId="14" xfId="0" applyFont="1" applyFill="1" applyBorder="1" applyAlignment="1">
      <alignment horizontal="center" vertical="center" wrapText="1"/>
    </xf>
    <xf numFmtId="0" fontId="11" fillId="0" borderId="14" xfId="0" applyFont="1" applyBorder="1" applyAlignment="1">
      <alignment horizontal="center" vertical="center" wrapText="1"/>
    </xf>
    <xf numFmtId="49" fontId="0" fillId="0" borderId="14" xfId="0" applyNumberFormat="1" applyBorder="1" applyAlignment="1">
      <alignment horizontal="left" vertical="center"/>
    </xf>
    <xf numFmtId="0" fontId="11" fillId="9" borderId="14" xfId="0" applyFont="1" applyFill="1" applyBorder="1" applyAlignment="1">
      <alignment horizontal="left" vertical="center" wrapText="1"/>
    </xf>
    <xf numFmtId="49" fontId="0" fillId="0" borderId="14" xfId="0" applyNumberFormat="1" applyBorder="1" applyAlignment="1">
      <alignment vertical="center"/>
    </xf>
    <xf numFmtId="49" fontId="0" fillId="0" borderId="0" xfId="0" applyNumberFormat="1" applyAlignment="1">
      <alignment horizontal="left" vertical="center"/>
    </xf>
    <xf numFmtId="0" fontId="13" fillId="10" borderId="37" xfId="0" applyFont="1" applyFill="1" applyBorder="1" applyAlignment="1">
      <alignment horizontal="center" vertical="center" wrapText="1"/>
    </xf>
    <xf numFmtId="0" fontId="13" fillId="10" borderId="38" xfId="0" applyFont="1" applyFill="1" applyBorder="1" applyAlignment="1">
      <alignment horizontal="center" vertical="center" wrapText="1"/>
    </xf>
    <xf numFmtId="0" fontId="1" fillId="0" borderId="0" xfId="0" applyFont="1" applyAlignment="1">
      <alignment vertical="center"/>
    </xf>
    <xf numFmtId="0" fontId="14" fillId="0" borderId="0" xfId="0" applyFont="1" applyAlignment="1">
      <alignment vertical="center"/>
    </xf>
    <xf numFmtId="0" fontId="13" fillId="10" borderId="40" xfId="0" applyFont="1" applyFill="1" applyBorder="1" applyAlignment="1">
      <alignment horizontal="center" vertical="center" wrapText="1"/>
    </xf>
    <xf numFmtId="0" fontId="13" fillId="10" borderId="39" xfId="0"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12" fillId="10" borderId="41" xfId="0" applyFont="1" applyFill="1" applyBorder="1" applyAlignment="1">
      <alignment vertical="center" wrapText="1"/>
    </xf>
    <xf numFmtId="0" fontId="13" fillId="10" borderId="41" xfId="0" applyFont="1" applyFill="1" applyBorder="1" applyAlignment="1">
      <alignment horizontal="center" vertical="center" wrapText="1"/>
    </xf>
    <xf numFmtId="0" fontId="16"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2" fillId="10" borderId="38" xfId="0" applyFont="1" applyFill="1" applyBorder="1" applyAlignment="1">
      <alignment horizontal="center" vertical="center" wrapText="1"/>
    </xf>
    <xf numFmtId="0" fontId="23" fillId="10" borderId="41"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26" fillId="10" borderId="41" xfId="0" applyFont="1" applyFill="1" applyBorder="1" applyAlignment="1">
      <alignment horizontal="center" vertical="center" wrapText="1"/>
    </xf>
    <xf numFmtId="0" fontId="27" fillId="10" borderId="41" xfId="0" applyFont="1" applyFill="1" applyBorder="1" applyAlignment="1">
      <alignment horizontal="center" vertical="center" wrapText="1"/>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9" fontId="12" fillId="10" borderId="39" xfId="0" applyNumberFormat="1" applyFont="1" applyFill="1" applyBorder="1" applyAlignment="1">
      <alignment horizontal="center" vertical="center" wrapText="1"/>
    </xf>
    <xf numFmtId="49" fontId="12" fillId="10" borderId="39" xfId="0" applyNumberFormat="1"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7" fillId="3" borderId="41"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2" fillId="3" borderId="41" xfId="0" applyFont="1" applyFill="1" applyBorder="1" applyAlignment="1">
      <alignment vertical="center" wrapText="1"/>
    </xf>
    <xf numFmtId="0" fontId="13" fillId="3" borderId="41" xfId="0" applyFont="1" applyFill="1" applyBorder="1" applyAlignment="1">
      <alignment horizontal="center" vertical="center" wrapText="1"/>
    </xf>
    <xf numFmtId="0" fontId="1" fillId="0" borderId="0" xfId="0" applyFont="1"/>
    <xf numFmtId="0" fontId="9" fillId="7" borderId="2"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0" fillId="5" borderId="14"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4" xfId="0" applyFill="1" applyBorder="1" applyAlignment="1">
      <alignment horizontal="center"/>
    </xf>
    <xf numFmtId="0" fontId="0" fillId="5" borderId="20" xfId="0" applyFill="1" applyBorder="1" applyAlignment="1">
      <alignment horizontal="center"/>
    </xf>
    <xf numFmtId="0" fontId="0" fillId="0" borderId="14" xfId="0" applyFill="1" applyBorder="1" applyAlignment="1">
      <alignment horizontal="center"/>
    </xf>
    <xf numFmtId="0" fontId="8" fillId="7" borderId="1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5" borderId="14" xfId="0" applyFill="1" applyBorder="1" applyAlignment="1">
      <alignment horizontal="center" vertical="center"/>
    </xf>
    <xf numFmtId="0" fontId="1" fillId="0" borderId="0" xfId="0" applyFont="1" applyFill="1" applyBorder="1" applyAlignment="1">
      <alignment horizontal="center" vertical="center"/>
    </xf>
    <xf numFmtId="0" fontId="0" fillId="6" borderId="13" xfId="0" applyFill="1" applyBorder="1" applyAlignment="1">
      <alignment horizontal="center" vertical="center" wrapText="1"/>
    </xf>
    <xf numFmtId="0" fontId="0" fillId="6" borderId="1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8" xfId="0"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24" xfId="0" applyFont="1" applyFill="1" applyBorder="1" applyAlignment="1">
      <alignment horizontal="center" vertical="center" wrapText="1"/>
    </xf>
    <xf numFmtId="49" fontId="2" fillId="4" borderId="23" xfId="0" applyNumberFormat="1" applyFont="1" applyFill="1" applyBorder="1" applyAlignment="1">
      <alignment horizontal="center" vertical="center" wrapText="1"/>
    </xf>
    <xf numFmtId="49" fontId="2" fillId="4" borderId="28"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7" xfId="0" applyFill="1" applyBorder="1" applyAlignment="1">
      <alignment horizontal="center"/>
    </xf>
    <xf numFmtId="0" fontId="0" fillId="3" borderId="11" xfId="0" applyFill="1" applyBorder="1" applyAlignment="1">
      <alignment horizontal="center"/>
    </xf>
    <xf numFmtId="49" fontId="8" fillId="5" borderId="35" xfId="0" applyNumberFormat="1" applyFont="1" applyFill="1" applyBorder="1" applyAlignment="1">
      <alignment horizontal="left" vertical="center" wrapText="1"/>
    </xf>
    <xf numFmtId="49" fontId="8" fillId="5" borderId="36" xfId="0" applyNumberFormat="1" applyFont="1" applyFill="1" applyBorder="1" applyAlignment="1">
      <alignment horizontal="left" vertical="center" wrapText="1"/>
    </xf>
    <xf numFmtId="0" fontId="13" fillId="10" borderId="42" xfId="0" applyFont="1" applyFill="1" applyBorder="1" applyAlignment="1">
      <alignment horizontal="center" vertical="center" wrapText="1"/>
    </xf>
    <xf numFmtId="0" fontId="13" fillId="10" borderId="39"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cellXfs>
  <cellStyles count="1">
    <cellStyle name="Standaard" xfId="0" builtinId="0"/>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599786</xdr:colOff>
      <xdr:row>41</xdr:row>
      <xdr:rowOff>266700</xdr:rowOff>
    </xdr:from>
    <xdr:to>
      <xdr:col>2</xdr:col>
      <xdr:colOff>0</xdr:colOff>
      <xdr:row>41</xdr:row>
      <xdr:rowOff>267277</xdr:rowOff>
    </xdr:to>
    <xdr:cxnSp macro="">
      <xdr:nvCxnSpPr>
        <xdr:cNvPr id="7" name="Rechte verbindingslijn 6">
          <a:extLst>
            <a:ext uri="{FF2B5EF4-FFF2-40B4-BE49-F238E27FC236}">
              <a16:creationId xmlns:a16="http://schemas.microsoft.com/office/drawing/2014/main" id="{6B269B82-C4D6-4770-9E33-76328A6FE320}"/>
            </a:ext>
          </a:extLst>
        </xdr:cNvPr>
        <xdr:cNvCxnSpPr/>
      </xdr:nvCxnSpPr>
      <xdr:spPr>
        <a:xfrm flipV="1">
          <a:off x="1209386" y="6953250"/>
          <a:ext cx="619414" cy="57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9236</xdr:colOff>
      <xdr:row>41</xdr:row>
      <xdr:rowOff>254000</xdr:rowOff>
    </xdr:from>
    <xdr:to>
      <xdr:col>3</xdr:col>
      <xdr:colOff>6350</xdr:colOff>
      <xdr:row>41</xdr:row>
      <xdr:rowOff>254577</xdr:rowOff>
    </xdr:to>
    <xdr:cxnSp macro="">
      <xdr:nvCxnSpPr>
        <xdr:cNvPr id="3" name="Rechte verbindingslijn 2">
          <a:extLst>
            <a:ext uri="{FF2B5EF4-FFF2-40B4-BE49-F238E27FC236}">
              <a16:creationId xmlns:a16="http://schemas.microsoft.com/office/drawing/2014/main" id="{E03BEF39-9363-4B92-9B09-82343276E64F}"/>
            </a:ext>
          </a:extLst>
        </xdr:cNvPr>
        <xdr:cNvCxnSpPr/>
      </xdr:nvCxnSpPr>
      <xdr:spPr>
        <a:xfrm flipV="1">
          <a:off x="809336" y="8801100"/>
          <a:ext cx="606714" cy="57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F1ED-D780-4CF4-AFCB-4B2EA548F15E}">
  <dimension ref="A1:P65"/>
  <sheetViews>
    <sheetView showGridLines="0" zoomScaleNormal="100" workbookViewId="0">
      <selection activeCell="D40" sqref="D40"/>
    </sheetView>
  </sheetViews>
  <sheetFormatPr defaultRowHeight="14.5"/>
  <cols>
    <col min="1" max="1" width="2.7265625" customWidth="1"/>
    <col min="2" max="2" width="8.7265625" style="95" hidden="1" customWidth="1"/>
    <col min="4" max="4" width="55.36328125" style="2" customWidth="1"/>
    <col min="5" max="5" width="10" customWidth="1"/>
    <col min="10" max="10" width="3.1796875" customWidth="1"/>
    <col min="11" max="11" width="10.26953125" style="2" bestFit="1" customWidth="1"/>
    <col min="12" max="12" width="21.36328125" style="2" customWidth="1"/>
    <col min="13" max="13" width="8.90625" style="2" bestFit="1" customWidth="1"/>
    <col min="14" max="14" width="4.81640625" style="2" bestFit="1" customWidth="1"/>
    <col min="15" max="15" width="23.36328125" style="28" customWidth="1"/>
    <col min="16" max="16" width="2.6328125" customWidth="1"/>
    <col min="21" max="21" width="2.81640625" bestFit="1" customWidth="1"/>
    <col min="22" max="22" width="17.453125" bestFit="1" customWidth="1"/>
  </cols>
  <sheetData>
    <row r="1" spans="1:15" ht="15" thickBot="1"/>
    <row r="2" spans="1:15" ht="15" thickBot="1">
      <c r="A2" s="5"/>
      <c r="B2" s="96"/>
      <c r="C2" s="1" t="s">
        <v>0</v>
      </c>
      <c r="D2" s="7" t="s">
        <v>1</v>
      </c>
      <c r="E2" s="187" t="s">
        <v>73</v>
      </c>
      <c r="F2" s="188"/>
    </row>
    <row r="3" spans="1:15" ht="15" thickBot="1">
      <c r="A3" s="5"/>
      <c r="B3" s="96"/>
      <c r="C3" s="1" t="s">
        <v>2</v>
      </c>
      <c r="D3" s="7" t="s">
        <v>3</v>
      </c>
      <c r="E3" s="189" t="s">
        <v>72</v>
      </c>
      <c r="F3" s="190"/>
      <c r="G3" t="s">
        <v>104</v>
      </c>
    </row>
    <row r="4" spans="1:15" ht="15" thickBot="1">
      <c r="A4" s="6"/>
      <c r="B4" s="97"/>
      <c r="C4" s="2"/>
      <c r="D4" s="4"/>
      <c r="E4" s="4"/>
      <c r="F4" s="11"/>
    </row>
    <row r="5" spans="1:15" ht="30" customHeight="1" thickBot="1">
      <c r="A5" s="175"/>
      <c r="B5" s="162"/>
      <c r="C5" s="171" t="s">
        <v>71</v>
      </c>
      <c r="D5" s="9" t="s">
        <v>169</v>
      </c>
      <c r="E5" s="178" t="s">
        <v>75</v>
      </c>
      <c r="F5" s="179"/>
      <c r="I5" s="2"/>
      <c r="J5" s="2"/>
      <c r="M5" s="28"/>
      <c r="N5"/>
      <c r="O5"/>
    </row>
    <row r="6" spans="1:15" ht="15" customHeight="1" thickBot="1">
      <c r="A6" s="175"/>
      <c r="B6" s="163"/>
      <c r="C6" s="172"/>
      <c r="D6" s="8" t="s">
        <v>167</v>
      </c>
      <c r="E6" s="178" t="s">
        <v>21</v>
      </c>
      <c r="F6" s="179"/>
      <c r="I6" s="2"/>
      <c r="J6" s="2"/>
      <c r="M6" s="28"/>
      <c r="N6"/>
      <c r="O6"/>
    </row>
    <row r="7" spans="1:15" ht="15" customHeight="1" thickBot="1">
      <c r="A7" s="175"/>
      <c r="B7" s="163"/>
      <c r="C7" s="172"/>
      <c r="D7" s="9" t="s">
        <v>4</v>
      </c>
      <c r="E7" s="178" t="s">
        <v>74</v>
      </c>
      <c r="F7" s="179"/>
      <c r="I7" s="2"/>
      <c r="J7" s="2"/>
      <c r="M7" s="28"/>
      <c r="N7"/>
      <c r="O7"/>
    </row>
    <row r="8" spans="1:15" ht="44" customHeight="1" thickBot="1">
      <c r="A8" s="175"/>
      <c r="B8" s="164"/>
      <c r="C8" s="173"/>
      <c r="D8" s="10" t="s">
        <v>5</v>
      </c>
      <c r="E8" s="176" t="str">
        <f>IF(OR(E5="&lt; oppervlakte invullen &gt;",E7="&lt; hoogte invullen &gt;"),"&lt; eerst oppervlakte en hoogte invullen &gt;",IF(OR(E5&gt;=20000,E7&gt;=30),"grootschalig project",IF(AND(E5&lt;5000,E7&lt;15),"kleinschalig project","middelgroot project")))</f>
        <v>&lt; eerst oppervlakte en hoogte invullen &gt;</v>
      </c>
      <c r="F8" s="177"/>
      <c r="L8" s="69"/>
    </row>
    <row r="9" spans="1:15" ht="15" thickBot="1"/>
    <row r="10" spans="1:15">
      <c r="B10" s="162"/>
      <c r="C10" s="171" t="s">
        <v>69</v>
      </c>
      <c r="D10" s="184" t="s">
        <v>70</v>
      </c>
      <c r="E10" s="90" t="s">
        <v>36</v>
      </c>
      <c r="F10" s="87" t="b">
        <f>IF($E$8="kleinschalig project",0.25*50,IF($E$8="middelgroot project",0.5*50,IF($E$8="grootschalig project",0.7*50)))</f>
        <v>0</v>
      </c>
    </row>
    <row r="11" spans="1:15">
      <c r="B11" s="163"/>
      <c r="C11" s="172"/>
      <c r="D11" s="185"/>
      <c r="E11" s="91" t="s">
        <v>20</v>
      </c>
      <c r="F11" s="88" t="b">
        <f>IF($E$8="kleinschalig project",0.25*29,IF($E$8="middelgroot project",0.5*29,IF($E$8="grootschalig project",0.7*29)))</f>
        <v>0</v>
      </c>
    </row>
    <row r="12" spans="1:15" ht="15" thickBot="1">
      <c r="B12" s="164"/>
      <c r="C12" s="173"/>
      <c r="D12" s="186"/>
      <c r="E12" s="92" t="s">
        <v>106</v>
      </c>
      <c r="F12" s="89" t="b">
        <f>IF($E$8="kleinschalig project",0.25*15,IF($E$8="middelgroot project",0.5*15,IF($E$8="grootschalig project",0.7*15)))</f>
        <v>0</v>
      </c>
    </row>
    <row r="13" spans="1:15" ht="15" thickBot="1"/>
    <row r="14" spans="1:15" ht="29">
      <c r="B14" s="98" t="s">
        <v>6</v>
      </c>
      <c r="C14" s="19" t="s">
        <v>6</v>
      </c>
      <c r="D14" s="17" t="s">
        <v>7</v>
      </c>
      <c r="E14" s="17" t="s">
        <v>8</v>
      </c>
      <c r="F14" s="17" t="s">
        <v>9</v>
      </c>
      <c r="G14" s="17" t="s">
        <v>10</v>
      </c>
      <c r="H14" s="17" t="s">
        <v>11</v>
      </c>
      <c r="I14" s="18" t="s">
        <v>12</v>
      </c>
      <c r="J14" s="40"/>
      <c r="K14" s="180" t="s">
        <v>41</v>
      </c>
      <c r="L14" s="181"/>
      <c r="M14" s="59" t="s">
        <v>76</v>
      </c>
      <c r="N14" s="182" t="s">
        <v>40</v>
      </c>
      <c r="O14" s="183"/>
    </row>
    <row r="15" spans="1:15">
      <c r="B15" s="99">
        <f>IF(E15=F15,0,IF(E15&gt;F15,(G15-I15)*-K15,IF(E15&lt;F15,(I15-G15)*K15,0)))</f>
        <v>0</v>
      </c>
      <c r="C15" s="16">
        <f>MIN(B15,M15)</f>
        <v>0</v>
      </c>
      <c r="D15" s="75" t="s">
        <v>13</v>
      </c>
      <c r="E15" s="16">
        <f>G15+H15</f>
        <v>0</v>
      </c>
      <c r="F15" s="16">
        <f>H15+I15</f>
        <v>0</v>
      </c>
      <c r="G15" s="16"/>
      <c r="H15" s="16"/>
      <c r="I15" s="16"/>
      <c r="J15" s="40"/>
      <c r="K15" s="70" t="e">
        <f>M15/N15</f>
        <v>#DIV/0!</v>
      </c>
      <c r="L15" s="16" t="s">
        <v>77</v>
      </c>
      <c r="M15" s="16">
        <v>5</v>
      </c>
      <c r="N15" s="39" t="b">
        <f>IF($E$8="kleinschalig project",6,IF($E$8="middelgroot project",9,IF($E$8="grootschalig project",12)))</f>
        <v>0</v>
      </c>
      <c r="O15" s="31" t="s">
        <v>43</v>
      </c>
    </row>
    <row r="16" spans="1:15">
      <c r="B16" s="99">
        <f>IF(E16=F16,0,IF(E16&gt;F16,(G16-I16)*-K16,IF(E16&lt;F16,(I16-G16)*K16,0)))</f>
        <v>0</v>
      </c>
      <c r="C16" s="16">
        <f>MIN(B16,M16)</f>
        <v>0</v>
      </c>
      <c r="D16" s="30" t="s">
        <v>168</v>
      </c>
      <c r="E16" s="16">
        <f>G16+H16</f>
        <v>0</v>
      </c>
      <c r="F16" s="16">
        <f>H16+I16</f>
        <v>0</v>
      </c>
      <c r="G16" s="55"/>
      <c r="H16" s="55"/>
      <c r="I16" s="55"/>
      <c r="J16" s="40"/>
      <c r="K16" s="70" t="e">
        <f>M16/N16</f>
        <v>#DIV/0!</v>
      </c>
      <c r="L16" s="55" t="s">
        <v>95</v>
      </c>
      <c r="M16" s="55">
        <v>5</v>
      </c>
      <c r="N16" s="39" t="b">
        <f>IF($E$8="kleinschalig project",1000,IF($E$8="middelgroot project",1500,IF($E$8="grootschalig project",2000)))</f>
        <v>0</v>
      </c>
      <c r="O16" s="71" t="s">
        <v>97</v>
      </c>
    </row>
    <row r="17" spans="2:16">
      <c r="B17" s="99">
        <f>IF(E17="&lt; invullen &gt;",0,IF(E17="1/3 groeiplaatsverbetering",1,IF(E17="2/3 groeiplaatsverbetering",2,IF(E17="100% groeiplaatsverbetering",3))))</f>
        <v>0</v>
      </c>
      <c r="C17" s="86">
        <f>MIN(B17,M17)</f>
        <v>0</v>
      </c>
      <c r="D17" s="35" t="s">
        <v>38</v>
      </c>
      <c r="E17" s="167" t="s">
        <v>21</v>
      </c>
      <c r="F17" s="167"/>
      <c r="G17" s="167"/>
      <c r="H17" s="167"/>
      <c r="I17" s="167"/>
      <c r="J17" s="40"/>
      <c r="K17" s="32">
        <v>1</v>
      </c>
      <c r="L17" s="54" t="s">
        <v>98</v>
      </c>
      <c r="M17" s="54">
        <v>3</v>
      </c>
      <c r="N17" s="81">
        <v>100</v>
      </c>
      <c r="O17" s="82" t="s">
        <v>99</v>
      </c>
    </row>
    <row r="18" spans="2:16">
      <c r="B18" s="99">
        <f t="shared" ref="B18:B39" si="0">IF(E18=F18,0,IF(E18&gt;F18,(G18-I18)*-K18,IF(E18&lt;F18,(I18-G18)*K18,0)))</f>
        <v>0</v>
      </c>
      <c r="C18" s="16">
        <f t="shared" ref="C18:C42" si="1">MIN(B18,M18)</f>
        <v>0</v>
      </c>
      <c r="D18" s="30" t="s">
        <v>101</v>
      </c>
      <c r="E18" s="16">
        <f t="shared" ref="E18:E23" si="2">G18+H18</f>
        <v>0</v>
      </c>
      <c r="F18" s="16">
        <f t="shared" ref="F18:F39" si="3">H18+I18</f>
        <v>0</v>
      </c>
      <c r="G18" s="25"/>
      <c r="H18" s="25"/>
      <c r="I18" s="25"/>
      <c r="J18" s="40"/>
      <c r="K18" s="70" t="e">
        <f t="shared" ref="K18:K24" si="4">M18/N18</f>
        <v>#DIV/0!</v>
      </c>
      <c r="L18" s="55" t="s">
        <v>79</v>
      </c>
      <c r="M18" s="55">
        <v>5</v>
      </c>
      <c r="N18" s="39" t="b">
        <f>IF($E$8="kleinschalig project",75,IF($E$8="middelgroot project",150,IF($E$8="grootschalig project",500)))</f>
        <v>0</v>
      </c>
      <c r="O18" s="31" t="s">
        <v>42</v>
      </c>
    </row>
    <row r="19" spans="2:16">
      <c r="B19" s="99">
        <f t="shared" si="0"/>
        <v>0</v>
      </c>
      <c r="C19" s="86">
        <f t="shared" si="1"/>
        <v>0</v>
      </c>
      <c r="D19" s="35" t="s">
        <v>14</v>
      </c>
      <c r="E19" s="15">
        <f t="shared" si="2"/>
        <v>0</v>
      </c>
      <c r="F19" s="15">
        <f t="shared" si="3"/>
        <v>0</v>
      </c>
      <c r="G19" s="15"/>
      <c r="H19" s="15"/>
      <c r="I19" s="15"/>
      <c r="K19" s="32" t="e">
        <f t="shared" si="4"/>
        <v>#DIV/0!</v>
      </c>
      <c r="L19" s="54" t="s">
        <v>78</v>
      </c>
      <c r="M19" s="54">
        <v>1</v>
      </c>
      <c r="N19" s="38" t="b">
        <f>IF($E$8="kleinschalig project",50,IF($E$8="middelgroot project",100,IF($E$8="grootschalig project",200)))</f>
        <v>0</v>
      </c>
      <c r="O19" s="62" t="s">
        <v>14</v>
      </c>
    </row>
    <row r="20" spans="2:16">
      <c r="B20" s="99">
        <f t="shared" si="0"/>
        <v>0</v>
      </c>
      <c r="C20" s="16">
        <f t="shared" si="1"/>
        <v>0</v>
      </c>
      <c r="D20" s="30" t="s">
        <v>15</v>
      </c>
      <c r="E20" s="16">
        <f t="shared" si="2"/>
        <v>0</v>
      </c>
      <c r="F20" s="16">
        <f t="shared" ref="F20:F22" si="5">H20+I20</f>
        <v>0</v>
      </c>
      <c r="G20" s="25"/>
      <c r="H20" s="25"/>
      <c r="I20" s="25"/>
      <c r="K20" s="33" t="e">
        <f t="shared" si="4"/>
        <v>#DIV/0!</v>
      </c>
      <c r="L20" s="55" t="s">
        <v>79</v>
      </c>
      <c r="M20" s="55">
        <v>3</v>
      </c>
      <c r="N20" s="39" t="b">
        <f>IF($E$8="kleinschalig project",75,IF($E$8="middelgroot project",150,IF($E$8="grootschalig project",300)))</f>
        <v>0</v>
      </c>
      <c r="O20" s="31" t="s">
        <v>44</v>
      </c>
    </row>
    <row r="21" spans="2:16">
      <c r="B21" s="99">
        <f t="shared" si="0"/>
        <v>0</v>
      </c>
      <c r="C21" s="86">
        <f t="shared" si="1"/>
        <v>0</v>
      </c>
      <c r="D21" s="35" t="s">
        <v>80</v>
      </c>
      <c r="E21" s="54">
        <f t="shared" si="2"/>
        <v>0</v>
      </c>
      <c r="F21" s="54">
        <f t="shared" ref="F21" si="6">H21+I21</f>
        <v>0</v>
      </c>
      <c r="G21" s="54"/>
      <c r="H21" s="54"/>
      <c r="I21" s="54"/>
      <c r="K21" s="32" t="e">
        <f t="shared" si="4"/>
        <v>#DIV/0!</v>
      </c>
      <c r="L21" s="54" t="s">
        <v>81</v>
      </c>
      <c r="M21" s="42">
        <v>1</v>
      </c>
      <c r="N21" s="38" t="b">
        <f>IF($E$8="kleinschalig project",10,IF($E$8="middelgroot project",20,IF($E$8="grootschalig project",75)))</f>
        <v>0</v>
      </c>
      <c r="O21" s="62" t="s">
        <v>45</v>
      </c>
    </row>
    <row r="22" spans="2:16">
      <c r="B22" s="99">
        <f t="shared" si="0"/>
        <v>0</v>
      </c>
      <c r="C22" s="86">
        <f t="shared" si="1"/>
        <v>0</v>
      </c>
      <c r="D22" s="35" t="s">
        <v>16</v>
      </c>
      <c r="E22" s="24">
        <f t="shared" si="2"/>
        <v>0</v>
      </c>
      <c r="F22" s="24">
        <f t="shared" si="5"/>
        <v>0</v>
      </c>
      <c r="G22" s="24"/>
      <c r="H22" s="24"/>
      <c r="I22" s="24"/>
      <c r="K22" s="32" t="e">
        <f t="shared" si="4"/>
        <v>#DIV/0!</v>
      </c>
      <c r="L22" s="54" t="s">
        <v>81</v>
      </c>
      <c r="M22" s="42">
        <v>3</v>
      </c>
      <c r="N22" s="38" t="b">
        <f>IF($E$8="kleinschalig project",10,IF($E$8="middelgroot project",20,IF($E$8="grootschalig project",75)))</f>
        <v>0</v>
      </c>
      <c r="O22" s="62" t="s">
        <v>45</v>
      </c>
    </row>
    <row r="23" spans="2:16">
      <c r="B23" s="99">
        <f t="shared" si="0"/>
        <v>0</v>
      </c>
      <c r="C23" s="86">
        <f t="shared" si="1"/>
        <v>0</v>
      </c>
      <c r="D23" s="35" t="s">
        <v>103</v>
      </c>
      <c r="E23" s="54">
        <f t="shared" si="2"/>
        <v>0</v>
      </c>
      <c r="F23" s="54">
        <f t="shared" ref="F23" si="7">H23+I23</f>
        <v>0</v>
      </c>
      <c r="G23" s="54"/>
      <c r="H23" s="54"/>
      <c r="I23" s="54"/>
      <c r="J23" s="40"/>
      <c r="K23" s="32" t="e">
        <f t="shared" si="4"/>
        <v>#DIV/0!</v>
      </c>
      <c r="L23" s="54" t="s">
        <v>81</v>
      </c>
      <c r="M23" s="42">
        <v>4</v>
      </c>
      <c r="N23" s="38" t="b">
        <f>IF($E$8="kleinschalig project",10,IF($E$8="middelgroot project",20,IF($E$8="grootschalig project",75)))</f>
        <v>0</v>
      </c>
      <c r="O23" s="62" t="s">
        <v>45</v>
      </c>
      <c r="P23" s="40"/>
    </row>
    <row r="24" spans="2:16">
      <c r="B24" s="99">
        <f t="shared" si="0"/>
        <v>0</v>
      </c>
      <c r="C24" s="16">
        <f t="shared" si="1"/>
        <v>0</v>
      </c>
      <c r="D24" s="30" t="s">
        <v>19</v>
      </c>
      <c r="E24" s="25">
        <f t="shared" ref="E24:E39" si="8">G24+H24</f>
        <v>0</v>
      </c>
      <c r="F24" s="25">
        <f t="shared" si="3"/>
        <v>0</v>
      </c>
      <c r="G24" s="25"/>
      <c r="H24" s="25"/>
      <c r="I24" s="25"/>
      <c r="K24" s="33" t="e">
        <f t="shared" si="4"/>
        <v>#DIV/0!</v>
      </c>
      <c r="L24" s="55" t="s">
        <v>79</v>
      </c>
      <c r="M24" s="55">
        <v>3</v>
      </c>
      <c r="N24" s="56" t="b">
        <f>IF($E$8="kleinschalig project",75,IF($E$8="middelgroot project",150,IF($E$8="grootschalig project",300)))</f>
        <v>0</v>
      </c>
      <c r="O24" s="60" t="s">
        <v>44</v>
      </c>
    </row>
    <row r="25" spans="2:16">
      <c r="B25" s="170">
        <f>IF(E25=F25,0,IF(E25&gt;F25,(G25-I25)*-K25,IF(E25&lt;F25,(I25-G25)*K25,0)))+IF(E26="toepassen",1)</f>
        <v>0</v>
      </c>
      <c r="C25" s="174">
        <f t="shared" si="1"/>
        <v>0</v>
      </c>
      <c r="D25" s="35" t="s">
        <v>61</v>
      </c>
      <c r="E25" s="24">
        <f t="shared" si="8"/>
        <v>0</v>
      </c>
      <c r="F25" s="24">
        <f t="shared" si="3"/>
        <v>0</v>
      </c>
      <c r="G25" s="24"/>
      <c r="H25" s="24"/>
      <c r="I25" s="24"/>
      <c r="K25" s="32" t="e">
        <f t="shared" ref="K25:K42" si="9">M25/N25</f>
        <v>#DIV/0!</v>
      </c>
      <c r="L25" s="54" t="s">
        <v>82</v>
      </c>
      <c r="M25" s="54">
        <v>5</v>
      </c>
      <c r="N25" s="38" t="b">
        <f>IF($E$8="kleinschalig project",1,IF($E$8="middelgroot project",2,IF($E$8="grootschalig project",3)))</f>
        <v>0</v>
      </c>
      <c r="O25" s="62" t="s">
        <v>50</v>
      </c>
    </row>
    <row r="26" spans="2:16">
      <c r="B26" s="170"/>
      <c r="C26" s="174"/>
      <c r="D26" s="35" t="s">
        <v>46</v>
      </c>
      <c r="E26" s="167" t="s">
        <v>21</v>
      </c>
      <c r="F26" s="167"/>
      <c r="G26" s="167"/>
      <c r="H26" s="167"/>
      <c r="I26" s="167"/>
      <c r="K26" s="32" t="e">
        <f t="shared" si="9"/>
        <v>#DIV/0!</v>
      </c>
      <c r="L26" s="54" t="s">
        <v>83</v>
      </c>
      <c r="M26" s="54">
        <v>1</v>
      </c>
      <c r="N26" s="38" t="b">
        <f>IF($E$8="kleinschalig project",1,IF($E$8="middelgroot project",2,IF($E$8="grootschalig project",3)))</f>
        <v>0</v>
      </c>
      <c r="O26" s="72" t="s">
        <v>60</v>
      </c>
    </row>
    <row r="27" spans="2:16">
      <c r="B27" s="99">
        <f t="shared" si="0"/>
        <v>0</v>
      </c>
      <c r="C27" s="16">
        <f t="shared" si="1"/>
        <v>0</v>
      </c>
      <c r="D27" s="30" t="s">
        <v>48</v>
      </c>
      <c r="E27" s="25">
        <f t="shared" si="8"/>
        <v>0</v>
      </c>
      <c r="F27" s="25">
        <f t="shared" si="3"/>
        <v>0</v>
      </c>
      <c r="G27" s="25"/>
      <c r="H27" s="25"/>
      <c r="I27" s="25"/>
      <c r="K27" s="33" t="e">
        <f t="shared" si="9"/>
        <v>#DIV/0!</v>
      </c>
      <c r="L27" s="55" t="s">
        <v>84</v>
      </c>
      <c r="M27" s="55">
        <v>4</v>
      </c>
      <c r="N27" s="41" t="b">
        <f>IF($E$8="kleinschalig project",10,IF($E$8="middelgroot project",20,IF($E$8="grootschalig project",50)))</f>
        <v>0</v>
      </c>
      <c r="O27" s="61" t="s">
        <v>47</v>
      </c>
    </row>
    <row r="28" spans="2:16">
      <c r="B28" s="99">
        <f t="shared" si="0"/>
        <v>0</v>
      </c>
      <c r="C28" s="86">
        <f t="shared" si="1"/>
        <v>0</v>
      </c>
      <c r="D28" s="35" t="s">
        <v>100</v>
      </c>
      <c r="E28" s="24">
        <f t="shared" ref="E28" si="10">G28+H28</f>
        <v>0</v>
      </c>
      <c r="F28" s="24">
        <f t="shared" ref="F28" si="11">H28+I28</f>
        <v>0</v>
      </c>
      <c r="G28" s="24"/>
      <c r="H28" s="24"/>
      <c r="I28" s="24"/>
      <c r="K28" s="32" t="e">
        <f t="shared" si="9"/>
        <v>#DIV/0!</v>
      </c>
      <c r="L28" s="54" t="s">
        <v>85</v>
      </c>
      <c r="M28" s="54">
        <v>1</v>
      </c>
      <c r="N28" s="38" t="b">
        <f>IF($E$8="kleinschalig project",10,IF($E$8="middelgroot project",20,IF($E$8="grootschalig project",30)))</f>
        <v>0</v>
      </c>
      <c r="O28" s="62" t="s">
        <v>47</v>
      </c>
    </row>
    <row r="29" spans="2:16">
      <c r="B29" s="99">
        <f>IF(E29="toepassen",1,0)</f>
        <v>0</v>
      </c>
      <c r="C29" s="16">
        <f>MIN(B29,M29)</f>
        <v>0</v>
      </c>
      <c r="D29" s="40" t="s">
        <v>49</v>
      </c>
      <c r="E29" s="169" t="s">
        <v>21</v>
      </c>
      <c r="F29" s="169"/>
      <c r="G29" s="169"/>
      <c r="H29" s="169"/>
      <c r="I29" s="169"/>
      <c r="K29" s="33">
        <f t="shared" si="9"/>
        <v>1</v>
      </c>
      <c r="L29" s="16" t="s">
        <v>86</v>
      </c>
      <c r="M29" s="55">
        <v>1</v>
      </c>
      <c r="N29" s="39">
        <v>1</v>
      </c>
      <c r="O29" s="31" t="s">
        <v>50</v>
      </c>
    </row>
    <row r="30" spans="2:16" s="23" customFormat="1" ht="29" customHeight="1">
      <c r="B30" s="99">
        <f t="shared" si="0"/>
        <v>0</v>
      </c>
      <c r="C30" s="86">
        <f t="shared" si="1"/>
        <v>0</v>
      </c>
      <c r="D30" s="76" t="s">
        <v>30</v>
      </c>
      <c r="E30" s="42">
        <f t="shared" si="8"/>
        <v>0</v>
      </c>
      <c r="F30" s="42">
        <f t="shared" si="3"/>
        <v>0</v>
      </c>
      <c r="G30" s="42"/>
      <c r="H30" s="42"/>
      <c r="I30" s="42"/>
      <c r="K30" s="73" t="e">
        <f t="shared" si="9"/>
        <v>#DIV/0!</v>
      </c>
      <c r="L30" s="42" t="s">
        <v>87</v>
      </c>
      <c r="M30" s="42">
        <v>1</v>
      </c>
      <c r="N30" s="57" t="b">
        <f>IF($E$8="kleinschalig project",3,IF($E$8="middelgroot project",5,IF($E$8="grootschalig project",10)))</f>
        <v>0</v>
      </c>
      <c r="O30" s="63" t="s">
        <v>50</v>
      </c>
    </row>
    <row r="31" spans="2:16">
      <c r="B31" s="99">
        <f t="shared" si="0"/>
        <v>0</v>
      </c>
      <c r="C31" s="16">
        <f t="shared" si="1"/>
        <v>0</v>
      </c>
      <c r="D31" s="30" t="s">
        <v>51</v>
      </c>
      <c r="E31" s="25">
        <f t="shared" si="8"/>
        <v>0</v>
      </c>
      <c r="F31" s="25">
        <f t="shared" si="3"/>
        <v>0</v>
      </c>
      <c r="G31" s="27"/>
      <c r="H31" s="27"/>
      <c r="I31" s="27"/>
      <c r="K31" s="33" t="e">
        <f t="shared" si="9"/>
        <v>#DIV/0!</v>
      </c>
      <c r="L31" s="16" t="s">
        <v>88</v>
      </c>
      <c r="M31" s="55">
        <v>1</v>
      </c>
      <c r="N31" s="39" t="b">
        <f>IF($E$8="kleinschalig project",1,IF($E$8="middelgroot project",2,IF($E$8="grootschalig project",3)))</f>
        <v>0</v>
      </c>
      <c r="O31" s="31" t="s">
        <v>50</v>
      </c>
    </row>
    <row r="32" spans="2:16">
      <c r="B32" s="99">
        <f t="shared" si="0"/>
        <v>0</v>
      </c>
      <c r="C32" s="86">
        <f t="shared" si="1"/>
        <v>0</v>
      </c>
      <c r="D32" s="35" t="s">
        <v>52</v>
      </c>
      <c r="E32" s="24"/>
      <c r="F32" s="24"/>
      <c r="G32" s="26"/>
      <c r="H32" s="26"/>
      <c r="I32" s="26"/>
      <c r="J32" s="40"/>
      <c r="K32" s="32" t="e">
        <f t="shared" si="9"/>
        <v>#DIV/0!</v>
      </c>
      <c r="L32" s="54" t="s">
        <v>89</v>
      </c>
      <c r="M32" s="54">
        <v>1</v>
      </c>
      <c r="N32" s="38" t="b">
        <f>IF($E$8="kleinschalig project",1,IF($E$8="middelgroot project",2,IF($E$8="grootschalig project",3)))</f>
        <v>0</v>
      </c>
      <c r="O32" s="63" t="s">
        <v>50</v>
      </c>
      <c r="P32" s="40"/>
    </row>
    <row r="33" spans="1:15">
      <c r="B33" s="99">
        <f t="shared" si="0"/>
        <v>0</v>
      </c>
      <c r="C33" s="16">
        <f t="shared" si="1"/>
        <v>0</v>
      </c>
      <c r="D33" s="30" t="s">
        <v>53</v>
      </c>
      <c r="E33" s="25">
        <f t="shared" si="8"/>
        <v>0</v>
      </c>
      <c r="F33" s="25">
        <f t="shared" si="3"/>
        <v>0</v>
      </c>
      <c r="G33" s="25"/>
      <c r="H33" s="25"/>
      <c r="I33" s="25"/>
      <c r="K33" s="70" t="e">
        <f t="shared" si="9"/>
        <v>#VALUE!</v>
      </c>
      <c r="L33" s="55" t="s">
        <v>79</v>
      </c>
      <c r="M33" s="55">
        <v>4</v>
      </c>
      <c r="N33" s="39" t="e">
        <f>0.5*($E$5-$E$6)</f>
        <v>#VALUE!</v>
      </c>
      <c r="O33" s="31" t="s">
        <v>54</v>
      </c>
    </row>
    <row r="34" spans="1:15">
      <c r="B34" s="99">
        <f t="shared" si="0"/>
        <v>0</v>
      </c>
      <c r="C34" s="86">
        <f t="shared" si="1"/>
        <v>0</v>
      </c>
      <c r="D34" s="35" t="s">
        <v>31</v>
      </c>
      <c r="E34" s="24">
        <f t="shared" si="8"/>
        <v>0</v>
      </c>
      <c r="F34" s="24">
        <f t="shared" si="3"/>
        <v>0</v>
      </c>
      <c r="G34" s="26"/>
      <c r="H34" s="26"/>
      <c r="I34" s="26"/>
      <c r="K34" s="32" t="e">
        <f t="shared" si="9"/>
        <v>#DIV/0!</v>
      </c>
      <c r="L34" s="54" t="s">
        <v>90</v>
      </c>
      <c r="M34" s="54">
        <v>4</v>
      </c>
      <c r="N34" s="58" t="b">
        <f>IF($E$8="kleinschalig project",20,IF($E$8="middelgroot project",50,IF($E$8="grootschalig project",75)))</f>
        <v>0</v>
      </c>
      <c r="O34" s="64" t="s">
        <v>56</v>
      </c>
    </row>
    <row r="35" spans="1:15">
      <c r="B35" s="99">
        <f t="shared" si="0"/>
        <v>0</v>
      </c>
      <c r="C35" s="16">
        <f t="shared" si="1"/>
        <v>0</v>
      </c>
      <c r="D35" s="30" t="s">
        <v>32</v>
      </c>
      <c r="E35" s="25">
        <f t="shared" si="8"/>
        <v>0</v>
      </c>
      <c r="F35" s="25">
        <f t="shared" si="3"/>
        <v>0</v>
      </c>
      <c r="G35" s="27"/>
      <c r="H35" s="27"/>
      <c r="I35" s="27"/>
      <c r="K35" s="33" t="e">
        <f>IF(N35="nvt",0,M35/N35)</f>
        <v>#DIV/0!</v>
      </c>
      <c r="L35" s="55" t="s">
        <v>79</v>
      </c>
      <c r="M35" s="55">
        <v>5</v>
      </c>
      <c r="N35" s="56" t="b">
        <f>IF($E$8="kleinschalig project","nvt",IF($E$8="middelgroot project",200,IF($E$8="grootschalig project",400)))</f>
        <v>0</v>
      </c>
      <c r="O35" s="60" t="b">
        <f>IF($E$8="kleinschalig project","klein project",IF($E$8="middelgroot project","m",IF($E$8="grootschalig project","m")))</f>
        <v>0</v>
      </c>
    </row>
    <row r="36" spans="1:15">
      <c r="B36" s="99">
        <f t="shared" si="0"/>
        <v>0</v>
      </c>
      <c r="C36" s="86">
        <f t="shared" si="1"/>
        <v>0</v>
      </c>
      <c r="D36" s="35" t="s">
        <v>33</v>
      </c>
      <c r="E36" s="24">
        <f t="shared" si="8"/>
        <v>0</v>
      </c>
      <c r="F36" s="24">
        <f t="shared" si="3"/>
        <v>0</v>
      </c>
      <c r="G36" s="26"/>
      <c r="H36" s="26"/>
      <c r="I36" s="26"/>
      <c r="K36" s="32" t="e">
        <f t="shared" si="9"/>
        <v>#DIV/0!</v>
      </c>
      <c r="L36" s="54" t="s">
        <v>90</v>
      </c>
      <c r="M36" s="54">
        <v>2</v>
      </c>
      <c r="N36" s="58" t="b">
        <f>IF($E$8="kleinschalig project",20,IF($E$8="middelgroot project",30,IF($E$8="grootschalig project",40)))</f>
        <v>0</v>
      </c>
      <c r="O36" s="65" t="s">
        <v>47</v>
      </c>
    </row>
    <row r="37" spans="1:15">
      <c r="B37" s="99">
        <f t="shared" si="0"/>
        <v>0</v>
      </c>
      <c r="C37" s="16">
        <f t="shared" si="1"/>
        <v>0</v>
      </c>
      <c r="D37" s="30" t="s">
        <v>34</v>
      </c>
      <c r="E37" s="25">
        <f t="shared" si="8"/>
        <v>0</v>
      </c>
      <c r="F37" s="25">
        <f t="shared" si="3"/>
        <v>0</v>
      </c>
      <c r="G37" s="27"/>
      <c r="H37" s="27"/>
      <c r="I37" s="27"/>
      <c r="K37" s="33" t="e">
        <f t="shared" si="9"/>
        <v>#DIV/0!</v>
      </c>
      <c r="L37" s="16" t="s">
        <v>90</v>
      </c>
      <c r="M37" s="55">
        <v>4</v>
      </c>
      <c r="N37" s="39" t="b">
        <f>IF($E$8="kleinschalig project",25,IF($E$8="middelgroot project",50,IF($E$8="grootschalig project",75)))</f>
        <v>0</v>
      </c>
      <c r="O37" s="66" t="s">
        <v>47</v>
      </c>
    </row>
    <row r="38" spans="1:15">
      <c r="B38" s="99">
        <f t="shared" si="0"/>
        <v>0</v>
      </c>
      <c r="C38" s="86">
        <f t="shared" si="1"/>
        <v>0</v>
      </c>
      <c r="D38" s="35" t="s">
        <v>57</v>
      </c>
      <c r="E38" s="24">
        <f t="shared" si="8"/>
        <v>0</v>
      </c>
      <c r="F38" s="24">
        <f t="shared" si="3"/>
        <v>0</v>
      </c>
      <c r="G38" s="26"/>
      <c r="H38" s="26"/>
      <c r="I38" s="26"/>
      <c r="K38" s="32" t="e">
        <f t="shared" si="9"/>
        <v>#DIV/0!</v>
      </c>
      <c r="L38" s="54" t="s">
        <v>86</v>
      </c>
      <c r="M38" s="54">
        <v>2</v>
      </c>
      <c r="N38" s="38" t="b">
        <f>IF($E$8="kleinschalig project",1,IF($E$8="middelgroot project",1,IF($E$8="grootschalig project",1)))</f>
        <v>0</v>
      </c>
      <c r="O38" s="62" t="s">
        <v>50</v>
      </c>
    </row>
    <row r="39" spans="1:15">
      <c r="B39" s="99">
        <f t="shared" si="0"/>
        <v>0</v>
      </c>
      <c r="C39" s="16">
        <f t="shared" si="1"/>
        <v>0</v>
      </c>
      <c r="D39" s="30" t="s">
        <v>35</v>
      </c>
      <c r="E39" s="25">
        <f t="shared" si="8"/>
        <v>0</v>
      </c>
      <c r="F39" s="25">
        <f t="shared" si="3"/>
        <v>0</v>
      </c>
      <c r="G39" s="27"/>
      <c r="H39" s="27"/>
      <c r="I39" s="27"/>
      <c r="K39" s="33" t="e">
        <f t="shared" si="9"/>
        <v>#DIV/0!</v>
      </c>
      <c r="L39" s="16" t="s">
        <v>86</v>
      </c>
      <c r="M39" s="16">
        <v>3</v>
      </c>
      <c r="N39" s="39" t="b">
        <f>IF($E$8="kleinschalig project",1,IF($E$8="middelgroot project",1,IF($E$8="grootschalig project",1)))</f>
        <v>0</v>
      </c>
      <c r="O39" s="31" t="s">
        <v>50</v>
      </c>
    </row>
    <row r="40" spans="1:15">
      <c r="B40" s="99">
        <f>IF(E40="toepassen",2,0)</f>
        <v>0</v>
      </c>
      <c r="C40" s="86">
        <f t="shared" si="1"/>
        <v>0</v>
      </c>
      <c r="D40" s="35" t="s">
        <v>58</v>
      </c>
      <c r="E40" s="167" t="s">
        <v>21</v>
      </c>
      <c r="F40" s="167"/>
      <c r="G40" s="167"/>
      <c r="H40" s="167"/>
      <c r="I40" s="167"/>
      <c r="K40" s="32">
        <f t="shared" si="9"/>
        <v>2</v>
      </c>
      <c r="L40" s="54" t="s">
        <v>86</v>
      </c>
      <c r="M40" s="54">
        <v>2</v>
      </c>
      <c r="N40" s="38">
        <v>1</v>
      </c>
      <c r="O40" s="62" t="s">
        <v>50</v>
      </c>
    </row>
    <row r="41" spans="1:15">
      <c r="B41" s="99">
        <f t="shared" ref="B41:B42" si="12">IF(E41="toepassen",1,0)</f>
        <v>0</v>
      </c>
      <c r="C41" s="16">
        <f>MIN(B41,M41)</f>
        <v>0</v>
      </c>
      <c r="D41" s="30" t="s">
        <v>37</v>
      </c>
      <c r="E41" s="169" t="s">
        <v>21</v>
      </c>
      <c r="F41" s="169"/>
      <c r="G41" s="169"/>
      <c r="H41" s="169"/>
      <c r="I41" s="169"/>
      <c r="K41" s="33">
        <f t="shared" si="9"/>
        <v>1</v>
      </c>
      <c r="L41" s="16" t="s">
        <v>86</v>
      </c>
      <c r="M41" s="55">
        <v>1</v>
      </c>
      <c r="N41" s="39">
        <v>1</v>
      </c>
      <c r="O41" s="31" t="s">
        <v>50</v>
      </c>
    </row>
    <row r="42" spans="1:15" ht="21">
      <c r="A42" s="3"/>
      <c r="B42" s="99">
        <f t="shared" si="12"/>
        <v>0</v>
      </c>
      <c r="C42" s="86">
        <f t="shared" si="1"/>
        <v>0</v>
      </c>
      <c r="D42" s="35" t="s">
        <v>102</v>
      </c>
      <c r="E42" s="167" t="s">
        <v>21</v>
      </c>
      <c r="F42" s="167"/>
      <c r="G42" s="167"/>
      <c r="H42" s="167"/>
      <c r="I42" s="167"/>
      <c r="K42" s="32">
        <f t="shared" si="9"/>
        <v>1</v>
      </c>
      <c r="L42" s="54" t="s">
        <v>86</v>
      </c>
      <c r="M42" s="54">
        <v>1</v>
      </c>
      <c r="N42" s="36">
        <v>1</v>
      </c>
      <c r="O42" s="62" t="s">
        <v>50</v>
      </c>
    </row>
    <row r="43" spans="1:15" ht="21.5" thickBot="1">
      <c r="A43" s="3"/>
      <c r="B43" s="100">
        <f>SUM(B15:B42)</f>
        <v>0</v>
      </c>
      <c r="C43" s="100">
        <f>SUM(C15:C42)</f>
        <v>0</v>
      </c>
      <c r="D43" s="44" t="s">
        <v>55</v>
      </c>
      <c r="E43" s="12">
        <f>IF(AND($E$8="kleinschalig project",$E$2="groene nieuwbouw"),0.25*50,IF(AND($E$8="middelgroot project",$E$2="groene nieuwbouw"),0.5*50,IF(AND($E$8="grootschalig project",$E$2="groene nieuwbouw"),0.7*50,0)))</f>
        <v>0</v>
      </c>
      <c r="F43" s="13" t="s">
        <v>68</v>
      </c>
      <c r="G43" s="13"/>
      <c r="H43" s="13"/>
      <c r="I43" s="14"/>
      <c r="K43" s="20"/>
      <c r="L43" s="21"/>
      <c r="M43" s="67">
        <v>50</v>
      </c>
      <c r="N43" s="49" t="s">
        <v>67</v>
      </c>
      <c r="O43" s="68"/>
    </row>
    <row r="44" spans="1:15" ht="15" thickBot="1"/>
    <row r="45" spans="1:15" ht="29">
      <c r="B45" s="98" t="s">
        <v>6</v>
      </c>
      <c r="C45" s="19" t="s">
        <v>6</v>
      </c>
      <c r="D45" s="17" t="s">
        <v>7</v>
      </c>
      <c r="E45" s="17" t="s">
        <v>8</v>
      </c>
      <c r="F45" s="17" t="s">
        <v>9</v>
      </c>
      <c r="G45" s="17" t="s">
        <v>10</v>
      </c>
      <c r="H45" s="17" t="s">
        <v>11</v>
      </c>
      <c r="I45" s="18" t="s">
        <v>12</v>
      </c>
      <c r="K45" s="180" t="s">
        <v>41</v>
      </c>
      <c r="L45" s="181"/>
      <c r="M45" s="59" t="s">
        <v>76</v>
      </c>
      <c r="N45" s="182" t="s">
        <v>40</v>
      </c>
      <c r="O45" s="183"/>
    </row>
    <row r="46" spans="1:15">
      <c r="B46" s="99">
        <f t="shared" ref="B46:B55" si="13">IF(E46=F46,0,IF(E46&gt;F46,(G46-I46)*-K46,IF(E46&lt;F46,(I46-G46)*K46,0)))</f>
        <v>0</v>
      </c>
      <c r="C46" s="86">
        <f>MIN(B46,M46)</f>
        <v>0</v>
      </c>
      <c r="D46" s="24" t="s">
        <v>17</v>
      </c>
      <c r="E46" s="24">
        <f t="shared" ref="E46:E47" si="14">G46+H46</f>
        <v>0</v>
      </c>
      <c r="F46" s="24">
        <f>H46+I46</f>
        <v>0</v>
      </c>
      <c r="G46" s="24"/>
      <c r="H46" s="24"/>
      <c r="I46" s="34"/>
      <c r="K46" s="32" t="e">
        <f>M46/N46</f>
        <v>#DIV/0!</v>
      </c>
      <c r="L46" s="54" t="s">
        <v>92</v>
      </c>
      <c r="M46" s="54">
        <v>3</v>
      </c>
      <c r="N46" s="36" t="b">
        <f>IF($E$8="kleinschalig project",20,IF($E$8="middelgroot project",30,IF($E$8="grootschalig project",50)))</f>
        <v>0</v>
      </c>
      <c r="O46" s="77" t="s">
        <v>62</v>
      </c>
    </row>
    <row r="47" spans="1:15">
      <c r="B47" s="99">
        <f t="shared" si="13"/>
        <v>0</v>
      </c>
      <c r="C47" s="16">
        <f>MIN(B47,M47)</f>
        <v>0</v>
      </c>
      <c r="D47" s="16" t="s">
        <v>18</v>
      </c>
      <c r="E47" s="25">
        <f t="shared" si="14"/>
        <v>0</v>
      </c>
      <c r="F47" s="25">
        <f>H47+I47</f>
        <v>0</v>
      </c>
      <c r="G47" s="16"/>
      <c r="H47" s="16"/>
      <c r="I47" s="50"/>
      <c r="K47" s="33" t="e">
        <f>M47/N47</f>
        <v>#DIV/0!</v>
      </c>
      <c r="L47" s="55" t="s">
        <v>90</v>
      </c>
      <c r="M47" s="55">
        <v>4</v>
      </c>
      <c r="N47" s="29" t="b">
        <f>IF($E$8="kleinschalig project",20,IF($E$8="middelgroot project",30,IF($E$8="grootschalig project",50)))</f>
        <v>0</v>
      </c>
      <c r="O47" s="66" t="s">
        <v>62</v>
      </c>
    </row>
    <row r="48" spans="1:15" s="22" customFormat="1" ht="29">
      <c r="B48" s="99">
        <f>IF(E48="&lt; invullen &gt;",0,IF(E48="lichtuitstraling vermijden",2,IF(E48="lichtuitstraling vermijden conform ecologisch lichtplan",3)))</f>
        <v>0</v>
      </c>
      <c r="C48" s="86">
        <f t="shared" ref="C48:C56" si="15">MIN(B48,M48)</f>
        <v>0</v>
      </c>
      <c r="D48" s="46" t="s">
        <v>39</v>
      </c>
      <c r="E48" s="165" t="s">
        <v>21</v>
      </c>
      <c r="F48" s="165"/>
      <c r="G48" s="165"/>
      <c r="H48" s="165"/>
      <c r="I48" s="166"/>
      <c r="K48" s="74">
        <v>2</v>
      </c>
      <c r="L48" s="45" t="s">
        <v>64</v>
      </c>
      <c r="M48" s="42">
        <v>3</v>
      </c>
      <c r="N48" s="43" t="s">
        <v>59</v>
      </c>
      <c r="O48" s="78" t="s">
        <v>63</v>
      </c>
    </row>
    <row r="49" spans="2:15">
      <c r="B49" s="99">
        <f t="shared" si="13"/>
        <v>0</v>
      </c>
      <c r="C49" s="16">
        <f t="shared" si="15"/>
        <v>0</v>
      </c>
      <c r="D49" s="47" t="s">
        <v>22</v>
      </c>
      <c r="E49" s="25">
        <f t="shared" ref="E49:E55" si="16">G49+H49</f>
        <v>0</v>
      </c>
      <c r="F49" s="25">
        <f t="shared" ref="F49:F55" si="17">H49+I49</f>
        <v>0</v>
      </c>
      <c r="G49" s="27"/>
      <c r="H49" s="27"/>
      <c r="I49" s="51"/>
      <c r="K49" s="70" t="e">
        <f>M49/N49</f>
        <v>#VALUE!</v>
      </c>
      <c r="L49" s="55" t="s">
        <v>91</v>
      </c>
      <c r="M49" s="16">
        <v>4</v>
      </c>
      <c r="N49" s="37" t="e">
        <f>0.75*($E$6)</f>
        <v>#VALUE!</v>
      </c>
      <c r="O49" s="79" t="s">
        <v>66</v>
      </c>
    </row>
    <row r="50" spans="2:15">
      <c r="B50" s="99">
        <f t="shared" si="13"/>
        <v>0</v>
      </c>
      <c r="C50" s="86">
        <f t="shared" si="15"/>
        <v>0</v>
      </c>
      <c r="D50" s="48" t="s">
        <v>23</v>
      </c>
      <c r="E50" s="24">
        <f t="shared" si="16"/>
        <v>0</v>
      </c>
      <c r="F50" s="24">
        <f t="shared" si="17"/>
        <v>0</v>
      </c>
      <c r="G50" s="26"/>
      <c r="H50" s="26"/>
      <c r="I50" s="52"/>
      <c r="K50" s="32" t="e">
        <f t="shared" ref="K50:K55" si="18">M50/N50</f>
        <v>#VALUE!</v>
      </c>
      <c r="L50" s="54" t="s">
        <v>91</v>
      </c>
      <c r="M50" s="54">
        <v>3</v>
      </c>
      <c r="N50" s="36" t="e">
        <f t="shared" ref="N50:N55" si="19">0.75*($E$6)</f>
        <v>#VALUE!</v>
      </c>
      <c r="O50" s="77" t="s">
        <v>66</v>
      </c>
    </row>
    <row r="51" spans="2:15">
      <c r="B51" s="99">
        <f t="shared" si="13"/>
        <v>0</v>
      </c>
      <c r="C51" s="16">
        <f t="shared" si="15"/>
        <v>0</v>
      </c>
      <c r="D51" s="47" t="s">
        <v>24</v>
      </c>
      <c r="E51" s="25">
        <f t="shared" si="16"/>
        <v>0</v>
      </c>
      <c r="F51" s="25">
        <f t="shared" si="17"/>
        <v>0</v>
      </c>
      <c r="G51" s="27"/>
      <c r="H51" s="27"/>
      <c r="I51" s="51"/>
      <c r="K51" s="70" t="e">
        <f t="shared" si="18"/>
        <v>#VALUE!</v>
      </c>
      <c r="L51" s="55" t="s">
        <v>91</v>
      </c>
      <c r="M51" s="16">
        <v>7</v>
      </c>
      <c r="N51" s="37" t="e">
        <f t="shared" si="19"/>
        <v>#VALUE!</v>
      </c>
      <c r="O51" s="79" t="s">
        <v>66</v>
      </c>
    </row>
    <row r="52" spans="2:15">
      <c r="B52" s="99">
        <f t="shared" si="13"/>
        <v>0</v>
      </c>
      <c r="C52" s="86">
        <f t="shared" si="15"/>
        <v>0</v>
      </c>
      <c r="D52" s="48" t="s">
        <v>25</v>
      </c>
      <c r="E52" s="24">
        <f t="shared" si="16"/>
        <v>0</v>
      </c>
      <c r="F52" s="24">
        <f t="shared" si="17"/>
        <v>0</v>
      </c>
      <c r="G52" s="26"/>
      <c r="H52" s="26"/>
      <c r="I52" s="52"/>
      <c r="K52" s="32" t="e">
        <f t="shared" si="18"/>
        <v>#VALUE!</v>
      </c>
      <c r="L52" s="54" t="s">
        <v>91</v>
      </c>
      <c r="M52" s="54">
        <v>6</v>
      </c>
      <c r="N52" s="36" t="e">
        <f t="shared" si="19"/>
        <v>#VALUE!</v>
      </c>
      <c r="O52" s="77" t="s">
        <v>66</v>
      </c>
    </row>
    <row r="53" spans="2:15">
      <c r="B53" s="99">
        <f t="shared" si="13"/>
        <v>0</v>
      </c>
      <c r="C53" s="16">
        <f t="shared" si="15"/>
        <v>0</v>
      </c>
      <c r="D53" s="47" t="s">
        <v>26</v>
      </c>
      <c r="E53" s="25">
        <f t="shared" si="16"/>
        <v>0</v>
      </c>
      <c r="F53" s="25">
        <f t="shared" si="17"/>
        <v>0</v>
      </c>
      <c r="G53" s="27"/>
      <c r="H53" s="27"/>
      <c r="I53" s="51"/>
      <c r="K53" s="33" t="e">
        <f t="shared" si="18"/>
        <v>#VALUE!</v>
      </c>
      <c r="L53" s="55" t="s">
        <v>91</v>
      </c>
      <c r="M53" s="16">
        <v>6</v>
      </c>
      <c r="N53" s="37" t="e">
        <f t="shared" si="19"/>
        <v>#VALUE!</v>
      </c>
      <c r="O53" s="79" t="s">
        <v>66</v>
      </c>
    </row>
    <row r="54" spans="2:15">
      <c r="B54" s="99">
        <f t="shared" si="13"/>
        <v>0</v>
      </c>
      <c r="C54" s="86">
        <f t="shared" si="15"/>
        <v>0</v>
      </c>
      <c r="D54" s="48" t="s">
        <v>27</v>
      </c>
      <c r="E54" s="24">
        <f t="shared" si="16"/>
        <v>0</v>
      </c>
      <c r="F54" s="24">
        <f t="shared" si="17"/>
        <v>0</v>
      </c>
      <c r="G54" s="26"/>
      <c r="H54" s="26"/>
      <c r="I54" s="52"/>
      <c r="K54" s="32" t="e">
        <f t="shared" si="18"/>
        <v>#VALUE!</v>
      </c>
      <c r="L54" s="54" t="s">
        <v>91</v>
      </c>
      <c r="M54" s="54">
        <v>6</v>
      </c>
      <c r="N54" s="36" t="e">
        <f t="shared" si="19"/>
        <v>#VALUE!</v>
      </c>
      <c r="O54" s="77" t="s">
        <v>66</v>
      </c>
    </row>
    <row r="55" spans="2:15">
      <c r="B55" s="99">
        <f t="shared" si="13"/>
        <v>0</v>
      </c>
      <c r="C55" s="16">
        <f t="shared" si="15"/>
        <v>0</v>
      </c>
      <c r="D55" s="47" t="s">
        <v>28</v>
      </c>
      <c r="E55" s="25">
        <f t="shared" si="16"/>
        <v>0</v>
      </c>
      <c r="F55" s="25">
        <f t="shared" si="17"/>
        <v>0</v>
      </c>
      <c r="G55" s="27"/>
      <c r="H55" s="27"/>
      <c r="I55" s="51"/>
      <c r="K55" s="33" t="e">
        <f t="shared" si="18"/>
        <v>#VALUE!</v>
      </c>
      <c r="L55" s="55" t="s">
        <v>91</v>
      </c>
      <c r="M55" s="16">
        <v>6</v>
      </c>
      <c r="N55" s="37" t="e">
        <f t="shared" si="19"/>
        <v>#VALUE!</v>
      </c>
      <c r="O55" s="79" t="s">
        <v>66</v>
      </c>
    </row>
    <row r="56" spans="2:15">
      <c r="B56" s="99">
        <f>IF(E56="toepassen",2,0)</f>
        <v>0</v>
      </c>
      <c r="C56" s="86">
        <f t="shared" si="15"/>
        <v>0</v>
      </c>
      <c r="D56" s="48" t="s">
        <v>29</v>
      </c>
      <c r="E56" s="167" t="s">
        <v>21</v>
      </c>
      <c r="F56" s="167"/>
      <c r="G56" s="167"/>
      <c r="H56" s="167"/>
      <c r="I56" s="168"/>
      <c r="K56" s="32">
        <v>2</v>
      </c>
      <c r="L56" s="54" t="s">
        <v>93</v>
      </c>
      <c r="M56" s="54">
        <v>2</v>
      </c>
      <c r="N56" s="36">
        <v>1</v>
      </c>
      <c r="O56" s="77" t="s">
        <v>50</v>
      </c>
    </row>
    <row r="57" spans="2:15" ht="21.5" thickBot="1">
      <c r="B57" s="100">
        <f>SUM(B46:B56)</f>
        <v>0</v>
      </c>
      <c r="C57" s="100">
        <f>SUM(C46:C56)</f>
        <v>0</v>
      </c>
      <c r="D57" s="44" t="s">
        <v>65</v>
      </c>
      <c r="E57" s="53">
        <f>IF(AND($E$8="kleinschalig project",$E$2="groene nieuwbouw"),0.25*29,IF(AND($E$8="middelgroot project",$E$2="groene nieuwbouw"),0.5*29,IF(AND($E$8="grootschalig project",$E$2="groene nieuwbouw"),0.7*29,0)))</f>
        <v>0</v>
      </c>
      <c r="F57" s="13" t="s">
        <v>68</v>
      </c>
      <c r="G57" s="13"/>
      <c r="H57" s="13"/>
      <c r="I57" s="14"/>
      <c r="K57" s="20"/>
      <c r="L57" s="21"/>
      <c r="M57" s="21">
        <v>29</v>
      </c>
      <c r="N57" s="49" t="s">
        <v>94</v>
      </c>
      <c r="O57" s="80"/>
    </row>
    <row r="58" spans="2:15" ht="15" thickBot="1">
      <c r="D58" s="4"/>
      <c r="E58" s="11"/>
      <c r="F58" s="11"/>
      <c r="G58" s="11"/>
      <c r="H58" s="11"/>
      <c r="I58" s="11"/>
    </row>
    <row r="59" spans="2:15" ht="29">
      <c r="B59" s="98" t="s">
        <v>6</v>
      </c>
      <c r="C59" s="17"/>
      <c r="D59" s="17" t="s">
        <v>7</v>
      </c>
      <c r="E59" s="17" t="s">
        <v>8</v>
      </c>
      <c r="F59" s="17" t="s">
        <v>9</v>
      </c>
      <c r="G59" s="17" t="s">
        <v>10</v>
      </c>
      <c r="H59" s="17" t="s">
        <v>11</v>
      </c>
      <c r="I59" s="18" t="s">
        <v>12</v>
      </c>
      <c r="K59" s="180" t="s">
        <v>41</v>
      </c>
      <c r="L59" s="181"/>
      <c r="M59" s="59" t="s">
        <v>76</v>
      </c>
      <c r="N59" s="182" t="s">
        <v>40</v>
      </c>
      <c r="O59" s="183"/>
    </row>
    <row r="60" spans="2:15">
      <c r="B60" s="99">
        <f>IF(E60=F60,0,IF(E60&gt;F60,(G60-I60)*-K60,IF(E60&lt;F60,(I60-G60)*K60,0)))</f>
        <v>0</v>
      </c>
      <c r="C60" s="86">
        <f>MIN(B60,M60)</f>
        <v>0</v>
      </c>
      <c r="D60" s="83" t="s">
        <v>107</v>
      </c>
      <c r="E60" s="83">
        <f t="shared" ref="E60:E61" si="20">G60+H60</f>
        <v>0</v>
      </c>
      <c r="F60" s="83">
        <f>H60+I60</f>
        <v>0</v>
      </c>
      <c r="G60" s="83"/>
      <c r="H60" s="83"/>
      <c r="I60" s="84"/>
      <c r="K60" s="93" t="e">
        <f>M60/N60</f>
        <v>#DIV/0!</v>
      </c>
      <c r="L60" s="83" t="s">
        <v>112</v>
      </c>
      <c r="M60" s="83">
        <v>4</v>
      </c>
      <c r="N60" s="36" t="b">
        <f>IF($E$8="kleinschalig project",11,IF($E$8="middelgroot project",21,IF($E$8="grootschalig project",50)))</f>
        <v>0</v>
      </c>
      <c r="O60" s="77" t="s">
        <v>113</v>
      </c>
    </row>
    <row r="61" spans="2:15">
      <c r="B61" s="99">
        <f>IF(E61=F61,0,IF(E61&gt;F61,(G61-I61)*-K61,IF(E61&lt;F61,(I61-G61)*K61,0)))</f>
        <v>0</v>
      </c>
      <c r="C61" s="16">
        <f t="shared" ref="C61:C64" si="21">MIN(B61,M61)</f>
        <v>0</v>
      </c>
      <c r="D61" s="16" t="s">
        <v>108</v>
      </c>
      <c r="E61" s="85">
        <f t="shared" si="20"/>
        <v>0</v>
      </c>
      <c r="F61" s="85">
        <f>H61+I61</f>
        <v>0</v>
      </c>
      <c r="G61" s="16"/>
      <c r="H61" s="16"/>
      <c r="I61" s="50"/>
      <c r="K61" s="94" t="e">
        <f>M61/N61</f>
        <v>#DIV/0!</v>
      </c>
      <c r="L61" s="85" t="s">
        <v>112</v>
      </c>
      <c r="M61" s="85">
        <v>4</v>
      </c>
      <c r="N61" s="29" t="b">
        <f>IF($E$8="kleinschalig project",6,IF($E$8="middelgroot project",9,IF($E$8="grootschalig project",13)))</f>
        <v>0</v>
      </c>
      <c r="O61" s="66" t="s">
        <v>114</v>
      </c>
    </row>
    <row r="62" spans="2:15">
      <c r="B62" s="99">
        <f>IF(E62=F62,0,IF(E62&gt;F62,(G62-I62)*-K62,IF(E62&lt;F62,(I62-G62)*K62,0)))</f>
        <v>0</v>
      </c>
      <c r="C62" s="86">
        <f t="shared" si="21"/>
        <v>0</v>
      </c>
      <c r="D62" s="48" t="s">
        <v>109</v>
      </c>
      <c r="E62" s="83">
        <f t="shared" ref="E62:E64" si="22">G62+H62</f>
        <v>0</v>
      </c>
      <c r="F62" s="83">
        <f t="shared" ref="F62:F64" si="23">H62+I62</f>
        <v>0</v>
      </c>
      <c r="G62" s="26"/>
      <c r="H62" s="26"/>
      <c r="I62" s="52"/>
      <c r="K62" s="93" t="e">
        <f t="shared" ref="K62:K64" si="24">M62/N62</f>
        <v>#DIV/0!</v>
      </c>
      <c r="L62" s="83" t="s">
        <v>112</v>
      </c>
      <c r="M62" s="83">
        <v>4</v>
      </c>
      <c r="N62" s="36" t="b">
        <f>IF($E$8="kleinschalig project",7,IF($E$8="middelgroot project",15,IF($E$8="grootschalig project",30)))</f>
        <v>0</v>
      </c>
      <c r="O62" s="77" t="s">
        <v>113</v>
      </c>
    </row>
    <row r="63" spans="2:15">
      <c r="B63" s="99">
        <f>IF(E63=F63,0,IF(E63&gt;F63,(G63-I63)*-K63,IF(E63&lt;F63,(I63-G63)*K63,0)))</f>
        <v>0</v>
      </c>
      <c r="C63" s="16">
        <f t="shared" si="21"/>
        <v>0</v>
      </c>
      <c r="D63" s="47" t="s">
        <v>110</v>
      </c>
      <c r="E63" s="85">
        <f t="shared" si="22"/>
        <v>0</v>
      </c>
      <c r="F63" s="85">
        <f t="shared" si="23"/>
        <v>0</v>
      </c>
      <c r="G63" s="27"/>
      <c r="H63" s="27"/>
      <c r="I63" s="51"/>
      <c r="K63" s="94" t="e">
        <f t="shared" si="24"/>
        <v>#DIV/0!</v>
      </c>
      <c r="L63" s="85" t="s">
        <v>112</v>
      </c>
      <c r="M63" s="16">
        <v>2</v>
      </c>
      <c r="N63" s="29" t="b">
        <f>IF($E$8="kleinschalig project",3,IF($E$8="middelgroot project",5,IF($E$8="grootschalig project",7)))</f>
        <v>0</v>
      </c>
      <c r="O63" s="79" t="s">
        <v>113</v>
      </c>
    </row>
    <row r="64" spans="2:15">
      <c r="B64" s="99">
        <f>IF(E64=F64,0,IF(E64&gt;F64,(G64-I64)*-K64,IF(E64&lt;F64,(I64-G64)*K64,0)))</f>
        <v>0</v>
      </c>
      <c r="C64" s="86">
        <f t="shared" si="21"/>
        <v>0</v>
      </c>
      <c r="D64" s="48" t="s">
        <v>111</v>
      </c>
      <c r="E64" s="83">
        <f t="shared" si="22"/>
        <v>0</v>
      </c>
      <c r="F64" s="83">
        <f t="shared" si="23"/>
        <v>0</v>
      </c>
      <c r="G64" s="26"/>
      <c r="H64" s="26"/>
      <c r="I64" s="52"/>
      <c r="K64" s="93" t="e">
        <f t="shared" si="24"/>
        <v>#DIV/0!</v>
      </c>
      <c r="L64" s="83" t="s">
        <v>112</v>
      </c>
      <c r="M64" s="83">
        <v>1</v>
      </c>
      <c r="N64" s="36" t="b">
        <f>IF($E$8="kleinschalig project",3,IF($E$8="middelgroot project",6,IF($E$8="grootschalig project",10)))</f>
        <v>0</v>
      </c>
      <c r="O64" s="77" t="s">
        <v>113</v>
      </c>
    </row>
    <row r="65" spans="2:15" ht="21.5" thickBot="1">
      <c r="B65" s="100">
        <f>SUM(B60:B64)</f>
        <v>0</v>
      </c>
      <c r="C65" s="100">
        <f>SUM(C60:C64)</f>
        <v>0</v>
      </c>
      <c r="D65" s="44" t="s">
        <v>105</v>
      </c>
      <c r="E65" s="53">
        <f>IF(AND($E$8="kleinschalig project",$E$2="groene nieuwbouw"),0.25*15,IF(AND($E$8="middelgroot project",$E$2="groene nieuwbouw"),0.5*15,IF(AND($E$8="grootschalig project",$E$2="groene nieuwbouw"),0.7*15,0)))</f>
        <v>0</v>
      </c>
      <c r="F65" s="13" t="s">
        <v>68</v>
      </c>
      <c r="G65" s="13"/>
      <c r="H65" s="13"/>
      <c r="I65" s="14"/>
      <c r="K65" s="20"/>
      <c r="L65" s="21"/>
      <c r="M65" s="21">
        <f>SUM(M60:M64)</f>
        <v>15</v>
      </c>
      <c r="N65" s="49" t="s">
        <v>115</v>
      </c>
      <c r="O65" s="80"/>
    </row>
  </sheetData>
  <mergeCells count="28">
    <mergeCell ref="K59:L59"/>
    <mergeCell ref="N59:O59"/>
    <mergeCell ref="D10:D12"/>
    <mergeCell ref="E2:F2"/>
    <mergeCell ref="E3:F3"/>
    <mergeCell ref="E17:I17"/>
    <mergeCell ref="K45:L45"/>
    <mergeCell ref="N45:O45"/>
    <mergeCell ref="K14:L14"/>
    <mergeCell ref="N14:O14"/>
    <mergeCell ref="A5:A8"/>
    <mergeCell ref="E8:F8"/>
    <mergeCell ref="E7:F7"/>
    <mergeCell ref="E5:F5"/>
    <mergeCell ref="B5:B8"/>
    <mergeCell ref="E6:F6"/>
    <mergeCell ref="C5:C8"/>
    <mergeCell ref="B10:B12"/>
    <mergeCell ref="E48:I48"/>
    <mergeCell ref="E56:I56"/>
    <mergeCell ref="E40:I40"/>
    <mergeCell ref="E41:I41"/>
    <mergeCell ref="E42:I42"/>
    <mergeCell ref="E26:I26"/>
    <mergeCell ref="E29:I29"/>
    <mergeCell ref="B25:B26"/>
    <mergeCell ref="C10:C12"/>
    <mergeCell ref="C25:C26"/>
  </mergeCells>
  <phoneticPr fontId="6" type="noConversion"/>
  <conditionalFormatting sqref="B43:C43">
    <cfRule type="cellIs" dxfId="5" priority="3" operator="lessThan">
      <formula>$E$43</formula>
    </cfRule>
    <cfRule type="cellIs" dxfId="4" priority="4" operator="greaterThanOrEqual">
      <formula>$E$43</formula>
    </cfRule>
  </conditionalFormatting>
  <conditionalFormatting sqref="B57:C57">
    <cfRule type="cellIs" dxfId="3" priority="5" operator="lessThan">
      <formula>$E$57</formula>
    </cfRule>
    <cfRule type="cellIs" dxfId="2" priority="6" operator="greaterThanOrEqual">
      <formula>$E$57</formula>
    </cfRule>
  </conditionalFormatting>
  <conditionalFormatting sqref="B65:C65">
    <cfRule type="cellIs" dxfId="1" priority="1" operator="lessThan">
      <formula>$E$57</formula>
    </cfRule>
    <cfRule type="cellIs" dxfId="0" priority="2" operator="greaterThanOrEqual">
      <formula>$E$57</formula>
    </cfRule>
  </conditionalFormatting>
  <dataValidations count="5">
    <dataValidation type="list" allowBlank="1" showInputMessage="1" showErrorMessage="1" sqref="E3" xr:uid="{6D255147-AE85-4CF6-B8AD-8289D4902B25}">
      <formula1>"binnenstad,bedrijven + kantoren,wonen,groen gebieden,&lt; invullen stap 1b &gt;"</formula1>
    </dataValidation>
    <dataValidation type="list" allowBlank="1" showInputMessage="1" showErrorMessage="1" sqref="E2" xr:uid="{BB6E6BDD-E4D4-4035-9CA9-8CEC10746B8C}">
      <formula1>"infrastructureel,groene nieuwbouw,groene ingreep,&lt; invullen stap 1a &gt;"</formula1>
    </dataValidation>
    <dataValidation type="list" allowBlank="1" showInputMessage="1" showErrorMessage="1" sqref="E17:I17" xr:uid="{7E185972-3D20-44A6-93B3-D3212BFE3BE7}">
      <formula1>"&lt; invullen &gt;, 1/3 groeiplaatsverbetering, 2/3 groeiplaatsverbetering, 100% groeiplaatsverbetering"</formula1>
    </dataValidation>
    <dataValidation type="list" allowBlank="1" showInputMessage="1" showErrorMessage="1" sqref="E56:I56 E26:I26 E29:I29 E40:I42" xr:uid="{818AC3BC-2F0D-4033-9816-078550DBAD6C}">
      <formula1>"&lt; invullen &gt;, toepassen"</formula1>
    </dataValidation>
    <dataValidation type="list" allowBlank="1" showInputMessage="1" showErrorMessage="1" sqref="E48:I48" xr:uid="{B4B0E0C7-B9A7-4864-90F7-CEA8019C920D}">
      <formula1>"&lt; invullen &gt;, lichtuitstraling vermijden,lichtuitstraling vermijden conform ecologisch lichtplan"</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2F8B-478D-468A-B575-C363BA40C1F2}">
  <dimension ref="A1:C46"/>
  <sheetViews>
    <sheetView topLeftCell="A19" workbookViewId="0">
      <selection activeCell="C27" sqref="C27"/>
    </sheetView>
  </sheetViews>
  <sheetFormatPr defaultColWidth="8.81640625" defaultRowHeight="14.5"/>
  <cols>
    <col min="1" max="1" width="14.54296875" style="118" customWidth="1"/>
    <col min="2" max="2" width="50.08984375" style="104" bestFit="1" customWidth="1"/>
    <col min="3" max="3" width="125.453125" style="127" customWidth="1"/>
    <col min="4" max="16384" width="8.81640625" style="104"/>
  </cols>
  <sheetData>
    <row r="1" spans="1:3">
      <c r="A1" s="101" t="s">
        <v>116</v>
      </c>
      <c r="B1" s="102" t="s">
        <v>117</v>
      </c>
      <c r="C1" s="103" t="s">
        <v>118</v>
      </c>
    </row>
    <row r="2" spans="1:3" ht="43.5">
      <c r="A2" s="105" t="s">
        <v>119</v>
      </c>
      <c r="B2" s="106" t="s">
        <v>13</v>
      </c>
      <c r="C2" s="107" t="s">
        <v>165</v>
      </c>
    </row>
    <row r="3" spans="1:3" ht="29">
      <c r="A3" s="105" t="s">
        <v>119</v>
      </c>
      <c r="B3" s="106" t="s">
        <v>96</v>
      </c>
      <c r="C3" s="108" t="s">
        <v>219</v>
      </c>
    </row>
    <row r="4" spans="1:3" ht="72.5">
      <c r="A4" s="109" t="s">
        <v>119</v>
      </c>
      <c r="B4" s="110" t="s">
        <v>38</v>
      </c>
      <c r="C4" s="111" t="s">
        <v>166</v>
      </c>
    </row>
    <row r="5" spans="1:3" ht="43.5">
      <c r="A5" s="105" t="s">
        <v>119</v>
      </c>
      <c r="B5" s="106" t="s">
        <v>101</v>
      </c>
      <c r="C5" s="107" t="s">
        <v>120</v>
      </c>
    </row>
    <row r="6" spans="1:3">
      <c r="A6" s="109" t="s">
        <v>119</v>
      </c>
      <c r="B6" s="110" t="s">
        <v>14</v>
      </c>
      <c r="C6" s="111" t="s">
        <v>121</v>
      </c>
    </row>
    <row r="7" spans="1:3" ht="87">
      <c r="A7" s="105" t="s">
        <v>119</v>
      </c>
      <c r="B7" s="106" t="s">
        <v>15</v>
      </c>
      <c r="C7" s="112" t="s">
        <v>122</v>
      </c>
    </row>
    <row r="8" spans="1:3" ht="43.5">
      <c r="A8" s="109" t="s">
        <v>119</v>
      </c>
      <c r="B8" s="110" t="s">
        <v>80</v>
      </c>
      <c r="C8" s="113" t="s">
        <v>123</v>
      </c>
    </row>
    <row r="9" spans="1:3">
      <c r="A9" s="109" t="s">
        <v>119</v>
      </c>
      <c r="B9" s="110" t="s">
        <v>16</v>
      </c>
      <c r="C9" s="191" t="s">
        <v>124</v>
      </c>
    </row>
    <row r="10" spans="1:3">
      <c r="A10" s="109" t="s">
        <v>119</v>
      </c>
      <c r="B10" s="110" t="s">
        <v>103</v>
      </c>
      <c r="C10" s="192"/>
    </row>
    <row r="11" spans="1:3" ht="58">
      <c r="A11" s="105" t="s">
        <v>119</v>
      </c>
      <c r="B11" s="106" t="s">
        <v>19</v>
      </c>
      <c r="C11" s="112" t="s">
        <v>125</v>
      </c>
    </row>
    <row r="12" spans="1:3" ht="58">
      <c r="A12" s="109" t="s">
        <v>119</v>
      </c>
      <c r="B12" s="110" t="s">
        <v>61</v>
      </c>
      <c r="C12" s="114" t="s">
        <v>126</v>
      </c>
    </row>
    <row r="13" spans="1:3">
      <c r="A13" s="109" t="s">
        <v>119</v>
      </c>
      <c r="B13" s="110" t="s">
        <v>46</v>
      </c>
      <c r="C13" s="111" t="s">
        <v>127</v>
      </c>
    </row>
    <row r="14" spans="1:3" ht="87">
      <c r="A14" s="105" t="s">
        <v>119</v>
      </c>
      <c r="B14" s="106" t="s">
        <v>48</v>
      </c>
      <c r="C14" s="112" t="s">
        <v>128</v>
      </c>
    </row>
    <row r="15" spans="1:3" ht="29">
      <c r="A15" s="109" t="s">
        <v>119</v>
      </c>
      <c r="B15" s="110" t="s">
        <v>100</v>
      </c>
      <c r="C15" s="114" t="s">
        <v>129</v>
      </c>
    </row>
    <row r="16" spans="1:3" ht="29">
      <c r="A16" s="105" t="s">
        <v>119</v>
      </c>
      <c r="B16" s="115" t="s">
        <v>49</v>
      </c>
      <c r="C16" s="107" t="s">
        <v>129</v>
      </c>
    </row>
    <row r="17" spans="1:3" ht="58">
      <c r="A17" s="109" t="s">
        <v>119</v>
      </c>
      <c r="B17" s="116" t="s">
        <v>30</v>
      </c>
      <c r="C17" s="114" t="s">
        <v>130</v>
      </c>
    </row>
    <row r="18" spans="1:3" ht="29">
      <c r="A18" s="105" t="s">
        <v>119</v>
      </c>
      <c r="B18" s="106" t="s">
        <v>51</v>
      </c>
      <c r="C18" s="112" t="s">
        <v>131</v>
      </c>
    </row>
    <row r="19" spans="1:3" ht="43.5">
      <c r="A19" s="109" t="s">
        <v>119</v>
      </c>
      <c r="B19" s="110" t="s">
        <v>52</v>
      </c>
      <c r="C19" s="114" t="s">
        <v>132</v>
      </c>
    </row>
    <row r="20" spans="1:3" ht="43.5">
      <c r="A20" s="105" t="s">
        <v>119</v>
      </c>
      <c r="B20" s="106" t="s">
        <v>53</v>
      </c>
      <c r="C20" s="112" t="s">
        <v>133</v>
      </c>
    </row>
    <row r="21" spans="1:3" ht="72.5">
      <c r="A21" s="109" t="s">
        <v>119</v>
      </c>
      <c r="B21" s="110" t="s">
        <v>31</v>
      </c>
      <c r="C21" s="114" t="s">
        <v>134</v>
      </c>
    </row>
    <row r="22" spans="1:3" ht="58">
      <c r="A22" s="105" t="s">
        <v>119</v>
      </c>
      <c r="B22" s="106" t="s">
        <v>32</v>
      </c>
      <c r="C22" s="117" t="s">
        <v>135</v>
      </c>
    </row>
    <row r="23" spans="1:3" ht="43.5">
      <c r="A23" s="109" t="s">
        <v>119</v>
      </c>
      <c r="B23" s="110" t="s">
        <v>33</v>
      </c>
      <c r="C23" s="114" t="s">
        <v>136</v>
      </c>
    </row>
    <row r="24" spans="1:3" ht="43.5">
      <c r="A24" s="105" t="s">
        <v>119</v>
      </c>
      <c r="B24" s="106" t="s">
        <v>34</v>
      </c>
      <c r="C24" s="112" t="s">
        <v>137</v>
      </c>
    </row>
    <row r="25" spans="1:3" ht="43.5">
      <c r="A25" s="109" t="s">
        <v>119</v>
      </c>
      <c r="B25" s="110" t="s">
        <v>57</v>
      </c>
      <c r="C25" s="114" t="s">
        <v>138</v>
      </c>
    </row>
    <row r="26" spans="1:3" ht="58">
      <c r="A26" s="105" t="s">
        <v>119</v>
      </c>
      <c r="B26" s="106" t="s">
        <v>35</v>
      </c>
      <c r="C26" s="114" t="s">
        <v>139</v>
      </c>
    </row>
    <row r="27" spans="1:3" ht="29">
      <c r="A27" s="109" t="s">
        <v>119</v>
      </c>
      <c r="B27" s="110" t="s">
        <v>58</v>
      </c>
      <c r="C27" s="114" t="s">
        <v>140</v>
      </c>
    </row>
    <row r="28" spans="1:3" ht="29">
      <c r="A28" s="105" t="s">
        <v>119</v>
      </c>
      <c r="B28" s="106" t="s">
        <v>37</v>
      </c>
      <c r="C28" s="107" t="s">
        <v>141</v>
      </c>
    </row>
    <row r="29" spans="1:3">
      <c r="A29" s="109" t="s">
        <v>119</v>
      </c>
      <c r="B29" s="110" t="s">
        <v>102</v>
      </c>
      <c r="C29" s="114" t="s">
        <v>142</v>
      </c>
    </row>
    <row r="30" spans="1:3">
      <c r="B30" s="119"/>
      <c r="C30" s="120"/>
    </row>
    <row r="31" spans="1:3" ht="58">
      <c r="A31" s="109" t="s">
        <v>143</v>
      </c>
      <c r="B31" s="121" t="s">
        <v>17</v>
      </c>
      <c r="C31" s="111" t="s">
        <v>144</v>
      </c>
    </row>
    <row r="32" spans="1:3" ht="43.5">
      <c r="A32" s="105" t="s">
        <v>143</v>
      </c>
      <c r="B32" s="106" t="s">
        <v>18</v>
      </c>
      <c r="C32" s="107" t="s">
        <v>145</v>
      </c>
    </row>
    <row r="33" spans="1:3" ht="145">
      <c r="A33" s="109" t="s">
        <v>143</v>
      </c>
      <c r="B33" s="122" t="s">
        <v>39</v>
      </c>
      <c r="C33" s="114" t="s">
        <v>146</v>
      </c>
    </row>
    <row r="34" spans="1:3">
      <c r="A34" s="105" t="s">
        <v>143</v>
      </c>
      <c r="B34" s="123" t="s">
        <v>22</v>
      </c>
      <c r="C34" s="112" t="s">
        <v>147</v>
      </c>
    </row>
    <row r="35" spans="1:3" ht="72.5">
      <c r="A35" s="109" t="s">
        <v>143</v>
      </c>
      <c r="B35" s="122" t="s">
        <v>23</v>
      </c>
      <c r="C35" s="114" t="s">
        <v>148</v>
      </c>
    </row>
    <row r="36" spans="1:3" ht="29">
      <c r="A36" s="105" t="s">
        <v>143</v>
      </c>
      <c r="B36" s="123" t="s">
        <v>24</v>
      </c>
      <c r="C36" s="112" t="s">
        <v>149</v>
      </c>
    </row>
    <row r="37" spans="1:3" ht="72.5">
      <c r="A37" s="109" t="s">
        <v>143</v>
      </c>
      <c r="B37" s="122" t="s">
        <v>25</v>
      </c>
      <c r="C37" s="114" t="s">
        <v>150</v>
      </c>
    </row>
    <row r="38" spans="1:3" ht="43.5">
      <c r="A38" s="105" t="s">
        <v>143</v>
      </c>
      <c r="B38" s="123" t="s">
        <v>26</v>
      </c>
      <c r="C38" s="112" t="s">
        <v>151</v>
      </c>
    </row>
    <row r="39" spans="1:3" ht="29">
      <c r="A39" s="109" t="s">
        <v>143</v>
      </c>
      <c r="B39" s="122" t="s">
        <v>27</v>
      </c>
      <c r="C39" s="114" t="s">
        <v>152</v>
      </c>
    </row>
    <row r="40" spans="1:3" ht="58">
      <c r="A40" s="105" t="s">
        <v>143</v>
      </c>
      <c r="B40" s="123" t="s">
        <v>28</v>
      </c>
      <c r="C40" s="112" t="s">
        <v>153</v>
      </c>
    </row>
    <row r="41" spans="1:3" ht="72.5">
      <c r="A41" s="109" t="s">
        <v>143</v>
      </c>
      <c r="B41" s="122" t="s">
        <v>29</v>
      </c>
      <c r="C41" s="114" t="s">
        <v>154</v>
      </c>
    </row>
    <row r="42" spans="1:3" ht="101.5">
      <c r="A42" s="105" t="s">
        <v>155</v>
      </c>
      <c r="B42" s="124" t="s">
        <v>156</v>
      </c>
      <c r="C42" s="107" t="s">
        <v>157</v>
      </c>
    </row>
    <row r="43" spans="1:3" ht="87">
      <c r="A43" s="109" t="s">
        <v>155</v>
      </c>
      <c r="B43" s="125" t="s">
        <v>158</v>
      </c>
      <c r="C43" s="114" t="s">
        <v>159</v>
      </c>
    </row>
    <row r="44" spans="1:3" ht="159.5">
      <c r="A44" s="105" t="s">
        <v>155</v>
      </c>
      <c r="B44" s="124" t="s">
        <v>160</v>
      </c>
      <c r="C44" s="107" t="s">
        <v>161</v>
      </c>
    </row>
    <row r="45" spans="1:3" ht="29">
      <c r="A45" s="109" t="s">
        <v>155</v>
      </c>
      <c r="B45" s="125" t="s">
        <v>162</v>
      </c>
      <c r="C45" s="114" t="s">
        <v>163</v>
      </c>
    </row>
    <row r="46" spans="1:3" ht="29">
      <c r="A46" s="105" t="s">
        <v>155</v>
      </c>
      <c r="B46" s="126" t="s">
        <v>111</v>
      </c>
      <c r="C46" s="107" t="s">
        <v>164</v>
      </c>
    </row>
  </sheetData>
  <mergeCells count="1">
    <mergeCell ref="C9:C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414CD-B6CF-4F22-87A3-FA05802638A6}">
  <dimension ref="B1:G46"/>
  <sheetViews>
    <sheetView showGridLines="0" tabSelected="1" topLeftCell="A20" workbookViewId="0">
      <selection activeCell="I30" sqref="I30"/>
    </sheetView>
  </sheetViews>
  <sheetFormatPr defaultRowHeight="14.5"/>
  <cols>
    <col min="2" max="2" width="15.54296875" customWidth="1"/>
  </cols>
  <sheetData>
    <row r="1" spans="2:7">
      <c r="B1" s="161" t="s">
        <v>218</v>
      </c>
    </row>
    <row r="2" spans="2:7" ht="15" thickBot="1">
      <c r="B2" s="130" t="s">
        <v>172</v>
      </c>
    </row>
    <row r="3" spans="2:7" ht="33.5" customHeight="1" thickBot="1">
      <c r="B3" s="128" t="s">
        <v>170</v>
      </c>
      <c r="C3" s="129">
        <v>20</v>
      </c>
      <c r="D3" s="158">
        <v>40</v>
      </c>
      <c r="E3" s="129">
        <v>60</v>
      </c>
      <c r="F3" s="129">
        <v>80</v>
      </c>
      <c r="G3" s="129" t="s">
        <v>171</v>
      </c>
    </row>
    <row r="5" spans="2:7" ht="15" thickBot="1">
      <c r="B5" s="131" t="s">
        <v>173</v>
      </c>
    </row>
    <row r="6" spans="2:7" ht="22.5" customHeight="1" thickBot="1">
      <c r="B6" s="128" t="s">
        <v>174</v>
      </c>
      <c r="C6" s="129">
        <v>38</v>
      </c>
      <c r="D6" s="158">
        <v>113</v>
      </c>
      <c r="E6" s="129">
        <v>177</v>
      </c>
      <c r="F6" s="129">
        <v>254</v>
      </c>
      <c r="G6" s="129" t="s">
        <v>175</v>
      </c>
    </row>
    <row r="7" spans="2:7" ht="33" customHeight="1">
      <c r="B7" s="132" t="s">
        <v>176</v>
      </c>
      <c r="C7" s="193" t="s">
        <v>59</v>
      </c>
      <c r="D7" s="195" t="s">
        <v>178</v>
      </c>
      <c r="E7" s="193" t="s">
        <v>179</v>
      </c>
      <c r="F7" s="193" t="s">
        <v>180</v>
      </c>
      <c r="G7" s="193" t="s">
        <v>181</v>
      </c>
    </row>
    <row r="8" spans="2:7" ht="22.5" customHeight="1" thickBot="1">
      <c r="B8" s="133" t="s">
        <v>177</v>
      </c>
      <c r="C8" s="194"/>
      <c r="D8" s="196"/>
      <c r="E8" s="194"/>
      <c r="F8" s="194"/>
      <c r="G8" s="194"/>
    </row>
    <row r="9" spans="2:7" ht="66.5" customHeight="1" thickBot="1">
      <c r="B9" s="134" t="s">
        <v>182</v>
      </c>
      <c r="C9" s="135"/>
      <c r="D9" s="159"/>
      <c r="E9" s="135"/>
      <c r="F9" s="135"/>
      <c r="G9" s="135"/>
    </row>
    <row r="10" spans="2:7" ht="15" thickBot="1">
      <c r="B10" s="133" t="s">
        <v>183</v>
      </c>
      <c r="C10" s="136">
        <v>13</v>
      </c>
      <c r="D10" s="160">
        <v>28</v>
      </c>
      <c r="E10" s="136">
        <v>39</v>
      </c>
      <c r="F10" s="136" t="s">
        <v>184</v>
      </c>
      <c r="G10" s="136" t="s">
        <v>175</v>
      </c>
    </row>
    <row r="11" spans="2:7" ht="15" thickBot="1">
      <c r="B11" s="133" t="s">
        <v>185</v>
      </c>
      <c r="C11" s="136">
        <v>20</v>
      </c>
      <c r="D11" s="160">
        <v>39</v>
      </c>
      <c r="E11" s="136">
        <v>79</v>
      </c>
      <c r="F11" s="136">
        <v>113</v>
      </c>
      <c r="G11" s="136" t="s">
        <v>175</v>
      </c>
    </row>
    <row r="12" spans="2:7" ht="15" thickBot="1">
      <c r="B12" s="133" t="s">
        <v>186</v>
      </c>
      <c r="C12" s="136">
        <v>39</v>
      </c>
      <c r="D12" s="160">
        <v>113</v>
      </c>
      <c r="E12" s="136">
        <v>177</v>
      </c>
      <c r="F12" s="136">
        <v>254</v>
      </c>
      <c r="G12" s="136" t="s">
        <v>175</v>
      </c>
    </row>
    <row r="14" spans="2:7">
      <c r="B14" s="137" t="s">
        <v>187</v>
      </c>
    </row>
    <row r="15" spans="2:7">
      <c r="B15" s="138" t="s">
        <v>188</v>
      </c>
    </row>
    <row r="16" spans="2:7">
      <c r="B16" s="22"/>
    </row>
    <row r="17" spans="2:7">
      <c r="B17" s="139" t="s">
        <v>189</v>
      </c>
    </row>
    <row r="18" spans="2:7">
      <c r="B18" s="22"/>
    </row>
    <row r="19" spans="2:7">
      <c r="B19" s="137" t="s">
        <v>190</v>
      </c>
    </row>
    <row r="20" spans="2:7">
      <c r="B20" s="22"/>
    </row>
    <row r="21" spans="2:7">
      <c r="B21" s="137" t="s">
        <v>191</v>
      </c>
    </row>
    <row r="22" spans="2:7">
      <c r="B22" s="22"/>
    </row>
    <row r="23" spans="2:7">
      <c r="B23" s="137" t="s">
        <v>192</v>
      </c>
    </row>
    <row r="24" spans="2:7">
      <c r="B24" s="22"/>
    </row>
    <row r="25" spans="2:7">
      <c r="B25" s="137" t="s">
        <v>193</v>
      </c>
    </row>
    <row r="26" spans="2:7">
      <c r="B26" s="131"/>
    </row>
    <row r="27" spans="2:7">
      <c r="B27" s="131"/>
    </row>
    <row r="28" spans="2:7">
      <c r="B28" s="131" t="s">
        <v>194</v>
      </c>
    </row>
    <row r="29" spans="2:7" ht="15" thickBot="1">
      <c r="B29" s="22"/>
    </row>
    <row r="30" spans="2:7" ht="22.5" thickBot="1">
      <c r="B30" s="128" t="s">
        <v>195</v>
      </c>
      <c r="C30" s="152" t="s">
        <v>196</v>
      </c>
      <c r="D30" s="152" t="s">
        <v>197</v>
      </c>
      <c r="E30" s="140" t="s">
        <v>198</v>
      </c>
      <c r="F30" s="140" t="s">
        <v>199</v>
      </c>
      <c r="G30" s="140" t="s">
        <v>200</v>
      </c>
    </row>
    <row r="31" spans="2:7" ht="15" thickBot="1">
      <c r="B31" s="150">
        <v>1</v>
      </c>
      <c r="C31" s="153" t="s">
        <v>196</v>
      </c>
      <c r="D31" s="153" t="s">
        <v>197</v>
      </c>
      <c r="E31" s="141" t="s">
        <v>198</v>
      </c>
      <c r="F31" s="141" t="s">
        <v>199</v>
      </c>
      <c r="G31" s="141" t="s">
        <v>201</v>
      </c>
    </row>
    <row r="32" spans="2:7" ht="22.5" thickBot="1">
      <c r="B32" s="133" t="s">
        <v>202</v>
      </c>
      <c r="C32" s="154">
        <v>11</v>
      </c>
      <c r="D32" s="154" t="s">
        <v>203</v>
      </c>
      <c r="E32" s="142" t="s">
        <v>197</v>
      </c>
      <c r="F32" s="142" t="s">
        <v>204</v>
      </c>
      <c r="G32" s="142" t="s">
        <v>200</v>
      </c>
    </row>
    <row r="33" spans="2:7" ht="15" thickBot="1">
      <c r="B33" s="151" t="s">
        <v>216</v>
      </c>
      <c r="C33" s="155">
        <v>11</v>
      </c>
      <c r="D33" s="155" t="s">
        <v>203</v>
      </c>
      <c r="E33" s="143" t="s">
        <v>197</v>
      </c>
      <c r="F33" s="143" t="s">
        <v>204</v>
      </c>
      <c r="G33" s="143" t="s">
        <v>201</v>
      </c>
    </row>
    <row r="34" spans="2:7" ht="22.5" thickBot="1">
      <c r="B34" s="133" t="s">
        <v>205</v>
      </c>
      <c r="C34" s="156" t="s">
        <v>206</v>
      </c>
      <c r="D34" s="156" t="s">
        <v>207</v>
      </c>
      <c r="E34" s="144" t="s">
        <v>208</v>
      </c>
      <c r="F34" s="144" t="s">
        <v>209</v>
      </c>
      <c r="G34" s="144" t="s">
        <v>200</v>
      </c>
    </row>
    <row r="35" spans="2:7" ht="15" thickBot="1">
      <c r="B35" s="151" t="s">
        <v>217</v>
      </c>
      <c r="C35" s="157" t="s">
        <v>206</v>
      </c>
      <c r="D35" s="157" t="s">
        <v>207</v>
      </c>
      <c r="E35" s="145" t="s">
        <v>208</v>
      </c>
      <c r="F35" s="145" t="s">
        <v>209</v>
      </c>
      <c r="G35" s="145" t="s">
        <v>201</v>
      </c>
    </row>
    <row r="36" spans="2:7">
      <c r="B36" s="146"/>
    </row>
    <row r="37" spans="2:7" ht="22.5">
      <c r="B37" s="147" t="s">
        <v>210</v>
      </c>
    </row>
    <row r="38" spans="2:7">
      <c r="B38" s="148" t="s">
        <v>211</v>
      </c>
    </row>
    <row r="39" spans="2:7">
      <c r="B39" s="148"/>
    </row>
    <row r="40" spans="2:7">
      <c r="B40" s="149" t="s">
        <v>212</v>
      </c>
    </row>
    <row r="41" spans="2:7">
      <c r="B41" s="148"/>
    </row>
    <row r="42" spans="2:7">
      <c r="B42" s="149" t="s">
        <v>213</v>
      </c>
    </row>
    <row r="43" spans="2:7">
      <c r="B43" s="148"/>
    </row>
    <row r="44" spans="2:7">
      <c r="B44" s="149" t="s">
        <v>214</v>
      </c>
    </row>
    <row r="45" spans="2:7">
      <c r="B45" s="148"/>
    </row>
    <row r="46" spans="2:7">
      <c r="B46" s="149" t="s">
        <v>215</v>
      </c>
    </row>
  </sheetData>
  <mergeCells count="5">
    <mergeCell ref="C7:C8"/>
    <mergeCell ref="D7:D8"/>
    <mergeCell ref="E7:E8"/>
    <mergeCell ref="F7:F8"/>
    <mergeCell ref="G7:G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2899E2FA8AEE48A68A4A66BB902F54" ma:contentTypeVersion="0" ma:contentTypeDescription="Een nieuw document maken." ma:contentTypeScope="" ma:versionID="ef138b7acc0ca5ac3008ab1beaec4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Zaakstuk" ma:contentTypeID="0x0101000C027DCF91ACF243BBE72380D1996B1F010010FC06BA1B28E24789B8F06806D4EF54" ma:contentTypeVersion="8" ma:contentTypeDescription="Een nieuw document maken." ma:contentTypeScope="" ma:versionID="4b39af351ea7a6e06c37e72c309525d0">
  <xsd:schema xmlns:xsd="http://www.w3.org/2001/XMLSchema" xmlns:xs="http://www.w3.org/2001/XMLSchema" xmlns:p="http://schemas.microsoft.com/office/2006/metadata/properties" xmlns:ns2="1ac1c52f-12bd-4579-b768-2bbe27d3d2d8" xmlns:ns3="53e03589-35d4-4a45-a49d-0ea6bf1af4b3" xmlns:ns4="d10cd6cb-9711-40de-8da4-c1daa204fbb3" xmlns:ns5="168d0cb3-44f0-4ef0-94d6-d14761307997" xmlns:ns6="5603e00a-3fa4-4487-bb62-1ea49b36c203" targetNamespace="http://schemas.microsoft.com/office/2006/metadata/properties" ma:root="true" ma:fieldsID="ffe5aeb071c038f3d00ab2b3aae2b12e" ns2:_="" ns3:_="" ns4:_="" ns5:_="" ns6:_="">
    <xsd:import namespace="1ac1c52f-12bd-4579-b768-2bbe27d3d2d8"/>
    <xsd:import namespace="53e03589-35d4-4a45-a49d-0ea6bf1af4b3"/>
    <xsd:import namespace="d10cd6cb-9711-40de-8da4-c1daa204fbb3"/>
    <xsd:import namespace="168d0cb3-44f0-4ef0-94d6-d14761307997"/>
    <xsd:import namespace="5603e00a-3fa4-4487-bb62-1ea49b36c203"/>
    <xsd:element name="properties">
      <xsd:complexType>
        <xsd:sequence>
          <xsd:element name="documentManagement">
            <xsd:complexType>
              <xsd:all>
                <xsd:element ref="ns2:_dlc_DocId" minOccurs="0"/>
                <xsd:element ref="ns2:_dlc_DocIdUrl" minOccurs="0"/>
                <xsd:element ref="ns2:_dlc_DocIdPersistId" minOccurs="0"/>
                <xsd:element ref="ns3:qnh_Integriteitskenmerk" minOccurs="0"/>
                <xsd:element ref="ns3:qnh_Afdeling" minOccurs="0"/>
                <xsd:element ref="ns3:qnh_AfzenderAccountKvKnummer" minOccurs="0"/>
                <xsd:element ref="ns3:qnh_AfzenderAccountnaam" minOccurs="0"/>
                <xsd:element ref="ns3:qnh_AfzenderBurgerBSNnummer" minOccurs="0"/>
                <xsd:element ref="ns3:qnh_AfzenderBurgernaam" minOccurs="0"/>
                <xsd:element ref="ns3:qnh_AfzenderContactPersoonNaam" minOccurs="0"/>
                <xsd:element ref="ns3:qnh_AfzenderGebruikerNaam" minOccurs="0"/>
                <xsd:element ref="ns3:qnh_AfzenderHuisLetter" minOccurs="0"/>
                <xsd:element ref="ns3:qnh_AfzenderHuisnummer" minOccurs="0"/>
                <xsd:element ref="ns3:qnh_AfzenderNaam" minOccurs="0"/>
                <xsd:element ref="ns3:qnh_AfzenderNaamvrij" minOccurs="0"/>
                <xsd:element ref="ns3:qnh_AfzenderPostcode" minOccurs="0"/>
                <xsd:element ref="ns3:qnh_AfzenderRelatie" minOccurs="0"/>
                <xsd:element ref="ns3:qnh_AfzenderStraat" minOccurs="0"/>
                <xsd:element ref="ns3:qnh_AfzenderToevoeging" minOccurs="0"/>
                <xsd:element ref="ns3:qnh_AfzenderWoonplaats" minOccurs="0"/>
                <xsd:element ref="ns3:qnh_Berichtstatus" minOccurs="0"/>
                <xsd:element ref="ns3:qnh_Communicatiekanaal" minOccurs="0"/>
                <xsd:element ref="ns3:qnh_DatumOntvangenSquit" minOccurs="0"/>
                <xsd:element ref="ns3:qnh_DatumOntvangstVerzonden" minOccurs="0"/>
                <xsd:element ref="ns3:qnh_DatumVerzondenSquit" minOccurs="0"/>
                <xsd:element ref="ns3:qnh_Documentdatum" minOccurs="0"/>
                <xsd:element ref="ns3:qnh_DocumentRole" minOccurs="0"/>
                <xsd:element ref="ns3:qnh_DocumentType" minOccurs="0"/>
                <xsd:element ref="ns3:qnh_Hoofdcategorie" minOccurs="0"/>
                <xsd:element ref="ns3:qnh_KenmerkSquit" minOccurs="0"/>
                <xsd:element ref="ns3:qnh_Kerndocument" minOccurs="0"/>
                <xsd:element ref="ns3:qnh_Medewerker" minOccurs="0"/>
                <xsd:element ref="ns4:qnh_Omschrijving" minOccurs="0"/>
                <xsd:element ref="ns3:qnh_OmschrijvingSquit" minOccurs="0"/>
                <xsd:element ref="ns3:qnh_Ondertekend" minOccurs="0"/>
                <xsd:element ref="ns3:qnh_Onderwerp" minOccurs="0"/>
                <xsd:element ref="ns3:qnh_OntvangerAccountKvKnummer" minOccurs="0"/>
                <xsd:element ref="ns3:qnh_OntvangerAccountnaam" minOccurs="0"/>
                <xsd:element ref="ns3:qnh_OntvangerBurgerBSNnummer" minOccurs="0"/>
                <xsd:element ref="ns3:qnh_OntvangerBurgernaam" minOccurs="0"/>
                <xsd:element ref="ns3:qnh_OntvangerContactPersoonNaam" minOccurs="0"/>
                <xsd:element ref="ns3:qnh_OntvangerGebruikerNaam" minOccurs="0"/>
                <xsd:element ref="ns3:qnh_OntvangerHuisLetter" minOccurs="0"/>
                <xsd:element ref="ns3:qnh_OntvangerHuisnummer" minOccurs="0"/>
                <xsd:element ref="ns3:qnh_OntvangerNaam" minOccurs="0"/>
                <xsd:element ref="ns3:qnh_OntvangerNaamvrij" minOccurs="0"/>
                <xsd:element ref="ns3:qnh_OntvangerPostcode" minOccurs="0"/>
                <xsd:element ref="ns3:qnh_OntvangerRelatie" minOccurs="0"/>
                <xsd:element ref="ns3:qnh_OntvangerStraat" minOccurs="0"/>
                <xsd:element ref="ns3:qnh_OntvangerToevoeging" minOccurs="0"/>
                <xsd:element ref="ns3:qnh_OntvangerWoonplaats" minOccurs="0"/>
                <xsd:element ref="ns3:qnh_Registratiedatum" minOccurs="0"/>
                <xsd:element ref="ns3:qnh_RegistratieNummer" minOccurs="0"/>
                <xsd:element ref="ns3:qnh_Richting" minOccurs="0"/>
                <xsd:element ref="ns3:qnh_Soort" minOccurs="0"/>
                <xsd:element ref="ns3:qnh_Subcategorie" minOccurs="0"/>
                <xsd:element ref="ns3:qnh_Vertrouwelijk" minOccurs="0"/>
                <xsd:element ref="ns3:qnh_Verwerkt" minOccurs="0"/>
                <xsd:element ref="ns3:qnh_ZaakNummer" minOccurs="0"/>
                <xsd:element ref="ns5:qnh_ZaaktypeTaxHTField0" minOccurs="0"/>
                <xsd:element ref="ns6:TaxCatchAll" minOccurs="0"/>
                <xsd:element ref="ns6: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c1c52f-12bd-4579-b768-2bbe27d3d2d8"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e03589-35d4-4a45-a49d-0ea6bf1af4b3" elementFormDefault="qualified">
    <xsd:import namespace="http://schemas.microsoft.com/office/2006/documentManagement/types"/>
    <xsd:import namespace="http://schemas.microsoft.com/office/infopath/2007/PartnerControls"/>
    <xsd:element name="qnh_Integriteitskenmerk" ma:index="11" nillable="true" ma:displayName="Integriteitskenmerk" ma:description="Integriteitskenmerk" ma:internalName="qnh_Integriteitskenmerk">
      <xsd:simpleType>
        <xsd:restriction base="dms:Text"/>
      </xsd:simpleType>
    </xsd:element>
    <xsd:element name="qnh_Afdeling" ma:index="12" nillable="true" ma:displayName="Afdeling" ma:internalName="qnh_Afdeling">
      <xsd:simpleType>
        <xsd:restriction base="dms:Text"/>
      </xsd:simpleType>
    </xsd:element>
    <xsd:element name="qnh_AfzenderAccountKvKnummer" ma:index="13" nillable="true" ma:displayName="AfzenderAccountKvKnummer" ma:internalName="qnh_AfzenderAccountKvKnummer">
      <xsd:simpleType>
        <xsd:restriction base="dms:Text"/>
      </xsd:simpleType>
    </xsd:element>
    <xsd:element name="qnh_AfzenderAccountnaam" ma:index="14" nillable="true" ma:displayName="AfzenderAccountnaam" ma:internalName="qnh_AfzenderAccountnaam">
      <xsd:simpleType>
        <xsd:restriction base="dms:Text"/>
      </xsd:simpleType>
    </xsd:element>
    <xsd:element name="qnh_AfzenderBurgerBSNnummer" ma:index="15" nillable="true" ma:displayName="AfzenderBurgerBSNnummer" ma:internalName="qnh_AfzenderBurgerBSNnummer">
      <xsd:simpleType>
        <xsd:restriction base="dms:Text"/>
      </xsd:simpleType>
    </xsd:element>
    <xsd:element name="qnh_AfzenderBurgernaam" ma:index="16" nillable="true" ma:displayName="AfzenderBurgernaam" ma:internalName="qnh_AfzenderBurgernaam">
      <xsd:simpleType>
        <xsd:restriction base="dms:Text"/>
      </xsd:simpleType>
    </xsd:element>
    <xsd:element name="qnh_AfzenderContactPersoonNaam" ma:index="17" nillable="true" ma:displayName="AfzenderContactPersoonNaam" ma:internalName="qnh_AfzenderContactPersoonNaam">
      <xsd:simpleType>
        <xsd:restriction base="dms:Text"/>
      </xsd:simpleType>
    </xsd:element>
    <xsd:element name="qnh_AfzenderGebruikerNaam" ma:index="18" nillable="true" ma:displayName="AfzenderGebruikerNaam" ma:internalName="qnh_AfzenderGebruikerNaam">
      <xsd:simpleType>
        <xsd:restriction base="dms:Text"/>
      </xsd:simpleType>
    </xsd:element>
    <xsd:element name="qnh_AfzenderHuisLetter" ma:index="19" nillable="true" ma:displayName="AfzenderHuisletter" ma:internalName="qnh_AfzenderHuisLetter">
      <xsd:simpleType>
        <xsd:restriction base="dms:Text"/>
      </xsd:simpleType>
    </xsd:element>
    <xsd:element name="qnh_AfzenderHuisnummer" ma:index="20" nillable="true" ma:displayName="AfzenderHuisnummer" ma:internalName="qnh_AfzenderHuisnummer">
      <xsd:simpleType>
        <xsd:restriction base="dms:Text"/>
      </xsd:simpleType>
    </xsd:element>
    <xsd:element name="qnh_AfzenderNaam" ma:index="21" nillable="true" ma:displayName="AfzenderNaam" ma:internalName="qnh_AfzenderNaam">
      <xsd:simpleType>
        <xsd:restriction base="dms:Text"/>
      </xsd:simpleType>
    </xsd:element>
    <xsd:element name="qnh_AfzenderNaamvrij" ma:index="22" nillable="true" ma:displayName="AfzenderNaamvrij" ma:internalName="qnh_AfzenderNaamvrij">
      <xsd:simpleType>
        <xsd:restriction base="dms:Text"/>
      </xsd:simpleType>
    </xsd:element>
    <xsd:element name="qnh_AfzenderPostcode" ma:index="23" nillable="true" ma:displayName="AfzenderPostcode" ma:internalName="qnh_AfzenderPostcode">
      <xsd:simpleType>
        <xsd:restriction base="dms:Text"/>
      </xsd:simpleType>
    </xsd:element>
    <xsd:element name="qnh_AfzenderRelatie" ma:index="24" nillable="true" ma:displayName="AfzenderRelatie" ma:internalName="qnh_AfzenderRelatie">
      <xsd:simpleType>
        <xsd:restriction base="dms:Text"/>
      </xsd:simpleType>
    </xsd:element>
    <xsd:element name="qnh_AfzenderStraat" ma:index="25" nillable="true" ma:displayName="AfzenderStraat" ma:internalName="qnh_AfzenderStraat">
      <xsd:simpleType>
        <xsd:restriction base="dms:Text"/>
      </xsd:simpleType>
    </xsd:element>
    <xsd:element name="qnh_AfzenderToevoeging" ma:index="26" nillable="true" ma:displayName="AfzenderToevoeging" ma:internalName="qnh_AfzenderToevoeging">
      <xsd:simpleType>
        <xsd:restriction base="dms:Text"/>
      </xsd:simpleType>
    </xsd:element>
    <xsd:element name="qnh_AfzenderWoonplaats" ma:index="27" nillable="true" ma:displayName="AfzenderWoonplaats" ma:internalName="qnh_AfzenderWoonplaats">
      <xsd:simpleType>
        <xsd:restriction base="dms:Text"/>
      </xsd:simpleType>
    </xsd:element>
    <xsd:element name="qnh_Berichtstatus" ma:index="28" nillable="true" ma:displayName="BerichtStatus" ma:internalName="qnh_Berichtstatus">
      <xsd:simpleType>
        <xsd:restriction base="dms:Text"/>
      </xsd:simpleType>
    </xsd:element>
    <xsd:element name="qnh_Communicatiekanaal" ma:index="29" nillable="true" ma:displayName="Communicatiekanaal" ma:internalName="qnh_Communicatiekanaal">
      <xsd:simpleType>
        <xsd:restriction base="dms:Text"/>
      </xsd:simpleType>
    </xsd:element>
    <xsd:element name="qnh_DatumOntvangenSquit" ma:index="30" nillable="true" ma:displayName="DatumOntvangenSquit" ma:internalName="qnh_DatumOntvangenSquit">
      <xsd:simpleType>
        <xsd:restriction base="dms:DateTime"/>
      </xsd:simpleType>
    </xsd:element>
    <xsd:element name="qnh_DatumOntvangstVerzonden" ma:index="31" nillable="true" ma:displayName="DatumOntvangstVerzonden" ma:internalName="qnh_DatumOntvangstVerzonden">
      <xsd:simpleType>
        <xsd:restriction base="dms:DateTime"/>
      </xsd:simpleType>
    </xsd:element>
    <xsd:element name="qnh_DatumVerzondenSquit" ma:index="32" nillable="true" ma:displayName="DatumVerzondenSquit" ma:internalName="qnh_DatumVerzondenSquit">
      <xsd:simpleType>
        <xsd:restriction base="dms:DateTime"/>
      </xsd:simpleType>
    </xsd:element>
    <xsd:element name="qnh_Documentdatum" ma:index="33" nillable="true" ma:displayName="Documentdatum" ma:internalName="qnh_Documentdatum">
      <xsd:simpleType>
        <xsd:restriction base="dms:DateTime"/>
      </xsd:simpleType>
    </xsd:element>
    <xsd:element name="qnh_DocumentRole" ma:index="34" nillable="true" ma:displayName="DocumentRol" ma:internalName="qnh_DocumentRole">
      <xsd:simpleType>
        <xsd:restriction base="dms:Text"/>
      </xsd:simpleType>
    </xsd:element>
    <xsd:element name="qnh_DocumentType" ma:index="35" nillable="true" ma:displayName="DocumentType" ma:internalName="qnh_DocumentType">
      <xsd:simpleType>
        <xsd:restriction base="dms:Text"/>
      </xsd:simpleType>
    </xsd:element>
    <xsd:element name="qnh_Hoofdcategorie" ma:index="36" nillable="true" ma:displayName="Hoofdcategorie" ma:internalName="qnh_Hoofdcategorie">
      <xsd:simpleType>
        <xsd:restriction base="dms:Text"/>
      </xsd:simpleType>
    </xsd:element>
    <xsd:element name="qnh_KenmerkSquit" ma:index="37" nillable="true" ma:displayName="KenmerkSquit" ma:internalName="qnh_KenmerkSquit">
      <xsd:simpleType>
        <xsd:restriction base="dms:Text"/>
      </xsd:simpleType>
    </xsd:element>
    <xsd:element name="qnh_Kerndocument" ma:index="38" nillable="true" ma:displayName="Kerndocument" ma:internalName="qnh_Kerndocument">
      <xsd:simpleType>
        <xsd:restriction base="dms:Text"/>
      </xsd:simpleType>
    </xsd:element>
    <xsd:element name="qnh_Medewerker" ma:index="39" nillable="true" ma:displayName="Medewerker" ma:internalName="qnh_Medewerker">
      <xsd:simpleType>
        <xsd:restriction base="dms:Text"/>
      </xsd:simpleType>
    </xsd:element>
    <xsd:element name="qnh_OmschrijvingSquit" ma:index="41" nillable="true" ma:displayName="OmschrijvingSquit" ma:internalName="qnh_OmschrijvingSquit">
      <xsd:simpleType>
        <xsd:restriction base="dms:Text"/>
      </xsd:simpleType>
    </xsd:element>
    <xsd:element name="qnh_Ondertekend" ma:index="42" nillable="true" ma:displayName="Ondertekend" ma:internalName="qnh_Ondertekend">
      <xsd:simpleType>
        <xsd:restriction base="dms:Text"/>
      </xsd:simpleType>
    </xsd:element>
    <xsd:element name="qnh_Onderwerp" ma:index="43" nillable="true" ma:displayName="Onderwerp" ma:internalName="qnh_Onderwerp">
      <xsd:simpleType>
        <xsd:restriction base="dms:Text"/>
      </xsd:simpleType>
    </xsd:element>
    <xsd:element name="qnh_OntvangerAccountKvKnummer" ma:index="44" nillable="true" ma:displayName="OntvangerAccountKvKnummer" ma:internalName="qnh_OntvangerAccountKvKnummer">
      <xsd:simpleType>
        <xsd:restriction base="dms:Text"/>
      </xsd:simpleType>
    </xsd:element>
    <xsd:element name="qnh_OntvangerAccountnaam" ma:index="45" nillable="true" ma:displayName="OntvangerAccountnaam" ma:internalName="qnh_OntvangerAccountnaam">
      <xsd:simpleType>
        <xsd:restriction base="dms:Text"/>
      </xsd:simpleType>
    </xsd:element>
    <xsd:element name="qnh_OntvangerBurgerBSNnummer" ma:index="46" nillable="true" ma:displayName="OntvangerBurgerBSNnummer" ma:internalName="qnh_OntvangerBurgerBSNnummer">
      <xsd:simpleType>
        <xsd:restriction base="dms:Text"/>
      </xsd:simpleType>
    </xsd:element>
    <xsd:element name="qnh_OntvangerBurgernaam" ma:index="47" nillable="true" ma:displayName="OntvangerBurgernaam" ma:internalName="qnh_OntvangerBurgernaam">
      <xsd:simpleType>
        <xsd:restriction base="dms:Text"/>
      </xsd:simpleType>
    </xsd:element>
    <xsd:element name="qnh_OntvangerContactPersoonNaam" ma:index="48" nillable="true" ma:displayName="OntvangerContactPersoonNaam" ma:internalName="qnh_OntvangerContactPersoonNaam">
      <xsd:simpleType>
        <xsd:restriction base="dms:Text"/>
      </xsd:simpleType>
    </xsd:element>
    <xsd:element name="qnh_OntvangerGebruikerNaam" ma:index="49" nillable="true" ma:displayName="OntvangerGebruikernaam" ma:internalName="qnh_OntvangerGebruikerNaam">
      <xsd:simpleType>
        <xsd:restriction base="dms:Text"/>
      </xsd:simpleType>
    </xsd:element>
    <xsd:element name="qnh_OntvangerHuisLetter" ma:index="50" nillable="true" ma:displayName="OntvangerHuisletter" ma:internalName="qnh_OntvangerHuisLetter">
      <xsd:simpleType>
        <xsd:restriction base="dms:Text"/>
      </xsd:simpleType>
    </xsd:element>
    <xsd:element name="qnh_OntvangerHuisnummer" ma:index="51" nillable="true" ma:displayName="OntvangerHuisnummer" ma:internalName="qnh_OntvangerHuisnummer">
      <xsd:simpleType>
        <xsd:restriction base="dms:Text"/>
      </xsd:simpleType>
    </xsd:element>
    <xsd:element name="qnh_OntvangerNaam" ma:index="52" nillable="true" ma:displayName="OntvangerNaam" ma:internalName="qnh_OntvangerNaam">
      <xsd:simpleType>
        <xsd:restriction base="dms:Text"/>
      </xsd:simpleType>
    </xsd:element>
    <xsd:element name="qnh_OntvangerNaamvrij" ma:index="53" nillable="true" ma:displayName="OntvangerNaamvrij" ma:internalName="qnh_OntvangerNaamvrij">
      <xsd:simpleType>
        <xsd:restriction base="dms:Text"/>
      </xsd:simpleType>
    </xsd:element>
    <xsd:element name="qnh_OntvangerPostcode" ma:index="54" nillable="true" ma:displayName="OntvangerPostcode" ma:internalName="qnh_OntvangerPostcode">
      <xsd:simpleType>
        <xsd:restriction base="dms:Text"/>
      </xsd:simpleType>
    </xsd:element>
    <xsd:element name="qnh_OntvangerRelatie" ma:index="55" nillable="true" ma:displayName="OntvangerRelatie" ma:internalName="qnh_OntvangerRelatie">
      <xsd:simpleType>
        <xsd:restriction base="dms:Text"/>
      </xsd:simpleType>
    </xsd:element>
    <xsd:element name="qnh_OntvangerStraat" ma:index="56" nillable="true" ma:displayName="OntvangerStraat" ma:internalName="qnh_OntvangerStraat">
      <xsd:simpleType>
        <xsd:restriction base="dms:Text"/>
      </xsd:simpleType>
    </xsd:element>
    <xsd:element name="qnh_OntvangerToevoeging" ma:index="57" nillable="true" ma:displayName="OntvangerToevoeging" ma:internalName="qnh_OntvangerToevoeging">
      <xsd:simpleType>
        <xsd:restriction base="dms:Text"/>
      </xsd:simpleType>
    </xsd:element>
    <xsd:element name="qnh_OntvangerWoonplaats" ma:index="58" nillable="true" ma:displayName="OntvangerWoonplaats" ma:internalName="qnh_OntvangerWoonplaats">
      <xsd:simpleType>
        <xsd:restriction base="dms:Text"/>
      </xsd:simpleType>
    </xsd:element>
    <xsd:element name="qnh_Registratiedatum" ma:index="59" nillable="true" ma:displayName="Registratiedatum" ma:internalName="qnh_Registratiedatum">
      <xsd:simpleType>
        <xsd:restriction base="dms:DateTime"/>
      </xsd:simpleType>
    </xsd:element>
    <xsd:element name="qnh_RegistratieNummer" ma:index="60" nillable="true" ma:displayName="Registratienummer" ma:indexed="true" ma:internalName="qnh_RegistratieNummer">
      <xsd:simpleType>
        <xsd:restriction base="dms:Text"/>
      </xsd:simpleType>
    </xsd:element>
    <xsd:element name="qnh_Richting" ma:index="61" nillable="true" ma:displayName="Richting" ma:default="Inkomend" ma:internalName="qnh_Richting">
      <xsd:simpleType>
        <xsd:restriction base="dms:Choice">
          <xsd:enumeration value="Inkomend"/>
          <xsd:enumeration value="Uitgaand"/>
          <xsd:enumeration value="Intern"/>
        </xsd:restriction>
      </xsd:simpleType>
    </xsd:element>
    <xsd:element name="qnh_Soort" ma:index="62" nillable="true" ma:displayName="Soort" ma:internalName="qnh_Soort">
      <xsd:simpleType>
        <xsd:restriction base="dms:Text"/>
      </xsd:simpleType>
    </xsd:element>
    <xsd:element name="qnh_Subcategorie" ma:index="63" nillable="true" ma:displayName="Subcategorie" ma:internalName="qnh_Subcategorie">
      <xsd:simpleType>
        <xsd:restriction base="dms:Text"/>
      </xsd:simpleType>
    </xsd:element>
    <xsd:element name="qnh_Vertrouwelijk" ma:index="64" nillable="true" ma:displayName="Vertrouwelijk" ma:internalName="qnh_Vertrouwelijk">
      <xsd:simpleType>
        <xsd:restriction base="dms:Text"/>
      </xsd:simpleType>
    </xsd:element>
    <xsd:element name="qnh_Verwerkt" ma:index="65" nillable="true" ma:displayName="Verwerkt" ma:internalName="qnh_Verwerkt">
      <xsd:simpleType>
        <xsd:restriction base="dms:Text"/>
      </xsd:simpleType>
    </xsd:element>
    <xsd:element name="qnh_ZaakNummer" ma:index="66" nillable="true" ma:displayName="Zaaknummer" ma:indexed="true" ma:internalName="qnh_ZaakNumm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0cd6cb-9711-40de-8da4-c1daa204fbb3" elementFormDefault="qualified">
    <xsd:import namespace="http://schemas.microsoft.com/office/2006/documentManagement/types"/>
    <xsd:import namespace="http://schemas.microsoft.com/office/infopath/2007/PartnerControls"/>
    <xsd:element name="qnh_Omschrijving" ma:index="40" nillable="true" ma:displayName="Omschrijving" ma:description="" ma:internalName="qnh_Omschrijving">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8d0cb3-44f0-4ef0-94d6-d14761307997" elementFormDefault="qualified">
    <xsd:import namespace="http://schemas.microsoft.com/office/2006/documentManagement/types"/>
    <xsd:import namespace="http://schemas.microsoft.com/office/infopath/2007/PartnerControls"/>
    <xsd:element name="qnh_ZaaktypeTaxHTField0" ma:index="67" nillable="true" ma:taxonomy="true" ma:internalName="qnh_ZaaktypeTaxHTField0" ma:taxonomyFieldName="qnh_Zaaktype" ma:displayName="Zaaktype" ma:fieldId="{44c19758-c133-4f62-8bc0-729b4319f2cc}" ma:sspId="d3fde6e7-07c6-4da3-98ef-6bb6937834e1" ma:termSetId="b2baf013-2ce2-4184-94a3-7c4cd514a35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03e00a-3fa4-4487-bb62-1ea49b36c203" elementFormDefault="qualified">
    <xsd:import namespace="http://schemas.microsoft.com/office/2006/documentManagement/types"/>
    <xsd:import namespace="http://schemas.microsoft.com/office/infopath/2007/PartnerControls"/>
    <xsd:element name="TaxCatchAll" ma:index="68" nillable="true" ma:displayName="Taxonomy Catch All Column" ma:hidden="true" ma:list="{9ac10031-c896-4c1a-8def-94d290b46727}" ma:internalName="TaxCatchAll" ma:showField="CatchAllData" ma:web="5603e00a-3fa4-4487-bb62-1ea49b36c203">
      <xsd:complexType>
        <xsd:complexContent>
          <xsd:extension base="dms:MultiChoiceLookup">
            <xsd:sequence>
              <xsd:element name="Value" type="dms:Lookup" maxOccurs="unbounded" minOccurs="0" nillable="true"/>
            </xsd:sequence>
          </xsd:extension>
        </xsd:complexContent>
      </xsd:complexType>
    </xsd:element>
    <xsd:element name="TaxCatchAllLabel" ma:index="69" nillable="true" ma:displayName="Taxonomy Catch All Column1" ma:hidden="true" ma:list="{9ac10031-c896-4c1a-8def-94d290b46727}" ma:internalName="TaxCatchAllLabel" ma:readOnly="true" ma:showField="CatchAllDataLabel" ma:web="5603e00a-3fa4-4487-bb62-1ea49b36c2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4AB7C1-38AD-409E-BCBE-984546F27617}"/>
</file>

<file path=customXml/itemProps2.xml><?xml version="1.0" encoding="utf-8"?>
<ds:datastoreItem xmlns:ds="http://schemas.openxmlformats.org/officeDocument/2006/customXml" ds:itemID="{EBF718D8-21FD-4195-8441-39C45570D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c1c52f-12bd-4579-b768-2bbe27d3d2d8"/>
    <ds:schemaRef ds:uri="53e03589-35d4-4a45-a49d-0ea6bf1af4b3"/>
    <ds:schemaRef ds:uri="d10cd6cb-9711-40de-8da4-c1daa204fbb3"/>
    <ds:schemaRef ds:uri="168d0cb3-44f0-4ef0-94d6-d14761307997"/>
    <ds:schemaRef ds:uri="5603e00a-3fa4-4487-bb62-1ea49b36c2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689DCD-DEF0-4277-9665-777984027B7C}">
  <ds:schemaRefs>
    <ds:schemaRef ds:uri="http://schemas.microsoft.com/sharepoint/v3/contenttype/forms"/>
  </ds:schemaRefs>
</ds:datastoreItem>
</file>

<file path=customXml/itemProps4.xml><?xml version="1.0" encoding="utf-8"?>
<ds:datastoreItem xmlns:ds="http://schemas.openxmlformats.org/officeDocument/2006/customXml" ds:itemID="{9D7130BF-A400-475C-BC99-FEC3CAB3F2B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53e03589-35d4-4a45-a49d-0ea6bf1af4b3"/>
    <ds:schemaRef ds:uri="168d0cb3-44f0-4ef0-94d6-d14761307997"/>
    <ds:schemaRef ds:uri="5603e00a-3fa4-4487-bb62-1ea49b36c203"/>
    <ds:schemaRef ds:uri="d10cd6cb-9711-40de-8da4-c1daa204fbb3"/>
    <ds:schemaRef ds:uri="1ac1c52f-12bd-4579-b768-2bbe27d3d2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instrument groencompensatie</vt:lpstr>
      <vt:lpstr>Bijlage A Maatregelen</vt:lpstr>
      <vt:lpstr>Bijlage B info uit boommonitor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Punteninstrument_groencompensatie_Amersfoort_28-01-2022.xlsx</dc:title>
  <dc:creator>van Gool, Robbert</dc:creator>
  <cp:lastModifiedBy>Houkje Hibma</cp:lastModifiedBy>
  <cp:lastPrinted>2022-01-13T14:03:52Z</cp:lastPrinted>
  <dcterms:created xsi:type="dcterms:W3CDTF">2021-03-25T10:06:20Z</dcterms:created>
  <dcterms:modified xsi:type="dcterms:W3CDTF">2022-02-01T13:22:59Z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0x010100A22899E2FA8AEE48A68A4A66BB902F54</vt:lpwstr>
  </property>
  <property fmtid="{D5CDD505-2E9C-101B-9397-08002B2CF9AE}" pid="3" name="qnh_Zaaktype">
    <vt:lpwstr>455</vt:lpwstr>
  </property>
  <property fmtid="{D5CDD505-2E9C-101B-9397-08002B2CF9AE}" pid="4" name="_dlc_DocIdItemGuid">
    <vt:lpwstr>6379c3b8-3613-44d4-b8b6-9a5fee7137ea</vt:lpwstr>
  </property>
  <property fmtid="{D5CDD505-2E9C-101B-9397-08002B2CF9AE}" pid="5" name="_docset_NoMedatataSyncRequired">
    <vt:lpwstr>False</vt:lpwstr>
  </property>
</Properties>
</file>